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Regular_Current Analysis\Inflation Report\2019.01\"/>
    </mc:Choice>
  </mc:AlternateContent>
  <bookViews>
    <workbookView xWindow="0" yWindow="0" windowWidth="18510" windowHeight="10995"/>
  </bookViews>
  <sheets>
    <sheet name="Forecas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[2]C!$L$15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 localSheetId="0">#REF!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[2]C!$L$34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[2]C!$L$43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[2]C!$L$9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Y" localSheetId="0">#REF!</definedName>
    <definedName name="CPIFY">#REF!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Y" localSheetId="0">#REF!</definedName>
    <definedName name="CPINFY">#REF!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Y" localSheetId="0">#REF!</definedName>
    <definedName name="CPISY">#REF!</definedName>
    <definedName name="CPIY" localSheetId="0">#REF!</definedName>
    <definedName name="CPIY">#REF!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[2]C!$L$22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[2]C!$L$41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[2]C!$L$17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[2]C!$L$16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[2]C!$L$18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[2]C!$L$24</definedName>
    <definedName name="EXRAVR_P" localSheetId="0">#REF!</definedName>
    <definedName name="EXRAVR_P">#REF!</definedName>
    <definedName name="EXREND">[2]C!$L$25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g" localSheetId="0">#REF!</definedName>
    <definedName name="g">#REF!</definedName>
    <definedName name="GDP">[2]C!$L$6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[2]C!$L$7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[2]C!$L$12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[2]C!$L$13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[2]Links!$AD$37</definedName>
    <definedName name="M3_P" localSheetId="0">#REF!</definedName>
    <definedName name="M3_P">#REF!</definedName>
    <definedName name="M3_R">[2]C!$L$28</definedName>
    <definedName name="M3_R1">[2]C!$L$29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[2]Links!$AD$42</definedName>
    <definedName name="MB_P" localSheetId="0">#REF!</definedName>
    <definedName name="MB_P">#REF!</definedName>
    <definedName name="MB_R">[2]C!$L$26</definedName>
    <definedName name="MB_R1">[2]C!$L$27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[2]C!$G$14</definedName>
    <definedName name="Month_" localSheetId="0">#REF!</definedName>
    <definedName name="Month_">#REF!</definedName>
    <definedName name="MonthL">[2]C!$G$15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ber" localSheetId="0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[2]labels!#REF!</definedName>
    <definedName name="p">[2]labels!#REF!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[2]C!$L$33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[8]Table!$A$3:$AB$73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#REF!,[9]Contents!$A$87:$H$247</definedName>
    <definedName name="Table135">#REF!,[9]Contents!$A$87:$H$247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#REF!,[10]Contents!$A$87:$H$247</definedName>
    <definedName name="Table21">#REF!,[10]Contents!$A$87:$H$247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[8]Table_GEF!$B$2:$T$53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[2]Links!$J$12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[2]C!$L$23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[2]C!$L$30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[2]C!$L$31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[2]C!$L$21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[2]C!$L$11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A" localSheetId="0">#REF!</definedName>
    <definedName name="WPICA">#REF!</definedName>
    <definedName name="WPImov_f" localSheetId="0">#REF!</definedName>
    <definedName name="WPImov_f">#REF!</definedName>
    <definedName name="WPIMY" localSheetId="0">#REF!</definedName>
    <definedName name="WPIMY">#REF!</definedName>
    <definedName name="WPIMYA" localSheetId="0">#REF!</definedName>
    <definedName name="WPIMYA">#REF!</definedName>
    <definedName name="WPIY" localSheetId="0">#REF!</definedName>
    <definedName name="WPIY">#REF!</definedName>
    <definedName name="WR">[2]C!$L$20</definedName>
    <definedName name="WR_P" localSheetId="0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 localSheetId="0">[12]C!#REF!</definedName>
    <definedName name="Year2">[12]C!#REF!</definedName>
    <definedName name="zDollarGDP">[13]ass!$A$7:$IV$7</definedName>
    <definedName name="zGDPgrowth" localSheetId="0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[13]oth!$A$17:$IV$17</definedName>
    <definedName name="zRoWCPIchange" localSheetId="0">#REF!</definedName>
    <definedName name="zRoWCPIchange">#REF!</definedName>
    <definedName name="zSDReRate">[13]ass!$A$24:$IV$24</definedName>
    <definedName name="zXGNFS" localSheetId="0">#REF!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 localSheetId="0">#REF!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" localSheetId="0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Forecast!$B$2:$V$36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>#REF!</definedName>
    <definedName name="Список">'[11]146024'!$A$8:$A$88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 localSheetId="0">#REF!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B1" i="2" l="1"/>
  <c r="W3" i="2" l="1"/>
  <c r="Q3" i="2"/>
  <c r="K3" i="2"/>
  <c r="AB3" i="2"/>
  <c r="B33" i="2" l="1"/>
  <c r="B24" i="2"/>
  <c r="B18" i="2"/>
  <c r="B5" i="2"/>
  <c r="B15" i="2" l="1"/>
  <c r="B14" i="2"/>
  <c r="B36" i="2"/>
  <c r="B31" i="2"/>
  <c r="B30" i="2"/>
  <c r="B27" i="2"/>
  <c r="B26" i="2"/>
  <c r="B16" i="2"/>
  <c r="B13" i="2"/>
  <c r="B12" i="2"/>
  <c r="B11" i="2"/>
  <c r="B10" i="2"/>
  <c r="B9" i="2"/>
  <c r="B8" i="2"/>
  <c r="V3" i="2"/>
  <c r="P3" i="2"/>
  <c r="B35" i="2" l="1"/>
  <c r="B34" i="2"/>
  <c r="B29" i="2"/>
  <c r="B28" i="2"/>
  <c r="B25" i="2"/>
  <c r="B22" i="2"/>
  <c r="B21" i="2"/>
  <c r="B20" i="2"/>
  <c r="B19" i="2"/>
  <c r="B7" i="2"/>
  <c r="B6" i="2"/>
  <c r="B2" i="2"/>
</calcChain>
</file>

<file path=xl/sharedStrings.xml><?xml version="1.0" encoding="utf-8"?>
<sst xmlns="http://schemas.openxmlformats.org/spreadsheetml/2006/main" count="130" uniqueCount="7">
  <si>
    <t>UA</t>
  </si>
  <si>
    <t>EN</t>
  </si>
  <si>
    <t>I</t>
  </si>
  <si>
    <t>II</t>
  </si>
  <si>
    <t>III</t>
  </si>
  <si>
    <t>IV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</si>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</sst>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0_);_(* \-#,##0.000_);_(* &quot;--&quot;_);_(@_)"/>
    <numFmt numFmtId="166" formatCode="General_)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ms Rmn"/>
    </font>
    <font>
      <sz val="10"/>
      <name val="Times New Roman"/>
      <family val="1"/>
      <charset val="204"/>
    </font>
    <font>
      <sz val="9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2" tint="-0.249977111117893"/>
      <name val="Arial"/>
      <family val="2"/>
      <charset val="204"/>
    </font>
    <font>
      <b/>
      <sz val="9"/>
      <color theme="2" tint="-0.24997711111789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7E7E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 style="hair">
        <color theme="7"/>
      </left>
      <right style="hair">
        <color theme="7"/>
      </right>
      <top/>
      <bottom/>
      <diagonal/>
    </border>
    <border>
      <left style="hair">
        <color theme="7"/>
      </left>
      <right style="hair">
        <color theme="7"/>
      </right>
      <top/>
      <bottom style="thin">
        <color theme="7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6" fontId="2" fillId="0" borderId="0"/>
  </cellStyleXfs>
  <cellXfs count="46">
    <xf numFmtId="0" fontId="0" fillId="0" borderId="0" xfId="0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3" fontId="7" fillId="0" borderId="0" xfId="3" applyNumberFormat="1" applyFont="1" applyFill="1" applyBorder="1" applyAlignment="1">
      <alignment horizontal="right" vertical="center"/>
    </xf>
    <xf numFmtId="164" fontId="7" fillId="0" borderId="0" xfId="3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6" fontId="7" fillId="0" borderId="0" xfId="4" applyNumberFormat="1" applyFont="1" applyFill="1" applyBorder="1" applyAlignment="1" applyProtection="1">
      <alignment horizontal="left" vertical="center"/>
    </xf>
    <xf numFmtId="166" fontId="5" fillId="0" borderId="0" xfId="4" applyNumberFormat="1" applyFont="1" applyFill="1" applyBorder="1" applyAlignment="1" applyProtection="1">
      <alignment horizontal="left" vertical="center"/>
    </xf>
    <xf numFmtId="1" fontId="5" fillId="0" borderId="0" xfId="4" applyNumberFormat="1" applyFont="1" applyFill="1" applyBorder="1" applyAlignment="1" applyProtection="1">
      <alignment horizontal="left" vertical="center"/>
    </xf>
    <xf numFmtId="1" fontId="7" fillId="0" borderId="0" xfId="4" applyNumberFormat="1" applyFont="1" applyFill="1" applyBorder="1" applyAlignment="1" applyProtection="1">
      <alignment horizontal="left" vertical="center"/>
    </xf>
    <xf numFmtId="1" fontId="5" fillId="0" borderId="0" xfId="4" applyNumberFormat="1" applyFont="1" applyFill="1" applyBorder="1" applyAlignment="1" applyProtection="1">
      <alignment horizontal="left" vertical="center" indent="2"/>
    </xf>
    <xf numFmtId="1" fontId="5" fillId="0" borderId="0" xfId="4" applyNumberFormat="1" applyFont="1" applyFill="1" applyBorder="1" applyAlignment="1" applyProtection="1">
      <alignment horizontal="left" vertical="center" indent="4"/>
    </xf>
    <xf numFmtId="166" fontId="5" fillId="0" borderId="0" xfId="4" applyNumberFormat="1" applyFont="1" applyFill="1" applyBorder="1" applyAlignment="1" applyProtection="1">
      <alignment vertical="center"/>
    </xf>
    <xf numFmtId="166" fontId="7" fillId="3" borderId="0" xfId="4" applyNumberFormat="1" applyFont="1" applyFill="1" applyBorder="1" applyAlignment="1" applyProtection="1">
      <alignment horizontal="left" vertical="center"/>
    </xf>
    <xf numFmtId="164" fontId="7" fillId="3" borderId="0" xfId="3" applyNumberFormat="1" applyFont="1" applyFill="1" applyBorder="1" applyAlignment="1">
      <alignment vertical="center"/>
    </xf>
    <xf numFmtId="1" fontId="7" fillId="3" borderId="0" xfId="3" applyNumberFormat="1" applyFont="1" applyFill="1" applyBorder="1" applyAlignment="1">
      <alignment vertical="center"/>
    </xf>
    <xf numFmtId="164" fontId="9" fillId="3" borderId="0" xfId="3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9" fillId="0" borderId="3" xfId="3" applyNumberFormat="1" applyFont="1" applyFill="1" applyBorder="1" applyAlignment="1">
      <alignment horizontal="right" vertical="center"/>
    </xf>
    <xf numFmtId="164" fontId="9" fillId="0" borderId="3" xfId="3" applyNumberFormat="1" applyFont="1" applyFill="1" applyBorder="1" applyAlignment="1">
      <alignment horizontal="right" vertical="center"/>
    </xf>
    <xf numFmtId="164" fontId="8" fillId="0" borderId="3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right" vertical="center"/>
    </xf>
    <xf numFmtId="1" fontId="5" fillId="0" borderId="2" xfId="4" applyNumberFormat="1" applyFont="1" applyFill="1" applyBorder="1" applyAlignment="1" applyProtection="1">
      <alignment horizontal="left" vertical="center"/>
    </xf>
    <xf numFmtId="164" fontId="5" fillId="0" borderId="2" xfId="1" applyNumberFormat="1" applyFont="1" applyFill="1" applyBorder="1" applyAlignment="1">
      <alignment horizontal="right" vertical="center"/>
    </xf>
    <xf numFmtId="164" fontId="8" fillId="0" borderId="4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right" vertical="center" wrapText="1"/>
    </xf>
    <xf numFmtId="0" fontId="5" fillId="2" borderId="2" xfId="3" applyFont="1" applyFill="1" applyBorder="1" applyAlignment="1">
      <alignment horizontal="right" vertical="center" wrapText="1"/>
    </xf>
    <xf numFmtId="165" fontId="7" fillId="2" borderId="1" xfId="2" applyNumberFormat="1" applyFont="1" applyFill="1" applyBorder="1" applyAlignment="1">
      <alignment horizontal="left" vertical="center"/>
    </xf>
    <xf numFmtId="165" fontId="7" fillId="2" borderId="0" xfId="2" applyNumberFormat="1" applyFont="1" applyFill="1" applyBorder="1" applyAlignment="1">
      <alignment horizontal="left" vertical="center"/>
    </xf>
    <xf numFmtId="165" fontId="7" fillId="2" borderId="2" xfId="2" applyNumberFormat="1" applyFont="1" applyFill="1" applyBorder="1" applyAlignment="1">
      <alignment horizontal="left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right" vertical="center" wrapText="1"/>
    </xf>
    <xf numFmtId="0" fontId="8" fillId="2" borderId="2" xfId="3" applyFont="1" applyFill="1" applyBorder="1" applyAlignment="1">
      <alignment horizontal="right" vertical="center" wrapText="1"/>
    </xf>
  </cellXfs>
  <cellStyles count="5">
    <cellStyle name="Normal_SEI(feb17)" xfId="4"/>
    <cellStyle name="Normal_sum" xfId="2"/>
    <cellStyle name="Звичайний" xfId="0" builtinId="0"/>
    <cellStyle name="Обычный 2" xfId="3"/>
    <cellStyle name="Обычный_Forec table IMF style 39" xfId="1"/>
  </cellStyles>
  <dxfs count="0"/>
  <tableStyles count="0" defaultTableStyle="TableStyleMedium2" defaultPivotStyle="PivotStyleLight16"/>
  <colors>
    <mruColors>
      <color rgb="FFE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6" fmlaLink="$A$1" fmlaRange="$A$2:$A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381000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gular_Forecast\Macro%20Forecast\2016_04%20IR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52;&#1086;&#1103;%20&#1087;&#1072;&#1087;&#1082;&#1072;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WINDOWS\TEMP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НБУ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AC76"/>
  <sheetViews>
    <sheetView showGridLines="0" tabSelected="1" showOutlineSymbols="0" zoomScale="85" zoomScaleNormal="85" zoomScaleSheetLayoutView="85" workbookViewId="0">
      <selection activeCell="B1" sqref="B1:AB1"/>
    </sheetView>
  </sheetViews>
  <sheetFormatPr defaultColWidth="8" defaultRowHeight="15" customHeight="1" outlineLevelCol="7" x14ac:dyDescent="0.25"/>
  <cols>
    <col min="1" max="1" width="5.7109375" style="2" customWidth="1"/>
    <col min="2" max="2" width="39" style="2" customWidth="1"/>
    <col min="3" max="5" width="8.7109375" style="2" customWidth="1"/>
    <col min="6" max="9" width="5.7109375" style="2" customWidth="1" outlineLevel="7"/>
    <col min="10" max="11" width="8.7109375" style="2" customWidth="1"/>
    <col min="12" max="15" width="5.7109375" style="2" customWidth="1"/>
    <col min="16" max="17" width="8.7109375" style="2" customWidth="1"/>
    <col min="18" max="21" width="5.7109375" style="2" customWidth="1"/>
    <col min="22" max="23" width="8.7109375" style="2" customWidth="1"/>
    <col min="24" max="27" width="5.7109375" style="2" customWidth="1"/>
    <col min="28" max="28" width="8.5703125" style="2" customWidth="1"/>
    <col min="29" max="16384" width="8" style="2"/>
  </cols>
  <sheetData>
    <row r="1" spans="1:28" ht="30" customHeight="1" x14ac:dyDescent="0.25">
      <c r="A1" s="3">
        <v>1</v>
      </c>
      <c r="B1" s="33" t="str">
        <f>IF(A1=1,"Макроекономічний прогноз (Січень 2019)","Macroeconomic forecast (January 2019)")</f>
        <v>Макроекономічний прогноз (Січень 2019)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" t="s">
        <v>0</v>
      </c>
      <c r="B2" s="39" t="str">
        <f>IF(A1=1,"Показники","Indicators")</f>
        <v>Показники</v>
      </c>
      <c r="C2" s="34">
        <v>2015</v>
      </c>
      <c r="D2" s="34">
        <v>2016</v>
      </c>
      <c r="E2" s="34">
        <v>2017</v>
      </c>
      <c r="F2" s="34">
        <v>2018</v>
      </c>
      <c r="G2" s="34"/>
      <c r="H2" s="34"/>
      <c r="I2" s="34"/>
      <c r="J2" s="34"/>
      <c r="K2" s="34"/>
      <c r="L2" s="34">
        <v>2019</v>
      </c>
      <c r="M2" s="34"/>
      <c r="N2" s="34"/>
      <c r="O2" s="34"/>
      <c r="P2" s="34"/>
      <c r="Q2" s="34"/>
      <c r="R2" s="34">
        <v>2020</v>
      </c>
      <c r="S2" s="34"/>
      <c r="T2" s="34"/>
      <c r="U2" s="34"/>
      <c r="V2" s="34"/>
      <c r="W2" s="34"/>
      <c r="X2" s="34">
        <v>2021</v>
      </c>
      <c r="Y2" s="34"/>
      <c r="Z2" s="34"/>
      <c r="AA2" s="34"/>
      <c r="AB2" s="34"/>
    </row>
    <row r="3" spans="1:28" ht="15" customHeight="1" x14ac:dyDescent="0.25">
      <c r="A3" s="1" t="s">
        <v>1</v>
      </c>
      <c r="B3" s="40"/>
      <c r="C3" s="42"/>
      <c r="D3" s="42"/>
      <c r="E3" s="42"/>
      <c r="F3" s="35" t="s">
        <v>2</v>
      </c>
      <c r="G3" s="35" t="s">
        <v>3</v>
      </c>
      <c r="H3" s="35" t="s">
        <v>4</v>
      </c>
      <c r="I3" s="35" t="s">
        <v>5</v>
      </c>
      <c r="J3" s="37" t="str">
        <f>IF($A$1=1,"факт/ оцінка","act/ est")</f>
        <v>факт/ оцінка</v>
      </c>
      <c r="K3" s="44" t="str">
        <f>IF($A$1=1,"прогноз 10.2018","forecast 10.2018")</f>
        <v>прогноз 10.2018</v>
      </c>
      <c r="L3" s="35" t="s">
        <v>2</v>
      </c>
      <c r="M3" s="35" t="s">
        <v>3</v>
      </c>
      <c r="N3" s="35" t="s">
        <v>4</v>
      </c>
      <c r="O3" s="35" t="s">
        <v>5</v>
      </c>
      <c r="P3" s="37" t="str">
        <f>IF($A$1=1,"поточний прогноз","current forecast")</f>
        <v>поточний прогноз</v>
      </c>
      <c r="Q3" s="44" t="str">
        <f>IF($A$1=1,"прогноз 10.2018","forecast 10.2018")</f>
        <v>прогноз 10.2018</v>
      </c>
      <c r="R3" s="35" t="s">
        <v>2</v>
      </c>
      <c r="S3" s="35" t="s">
        <v>3</v>
      </c>
      <c r="T3" s="35" t="s">
        <v>4</v>
      </c>
      <c r="U3" s="35" t="s">
        <v>5</v>
      </c>
      <c r="V3" s="37" t="str">
        <f>IF($A$1=1,"поточний прогноз","current forecast")</f>
        <v>поточний прогноз</v>
      </c>
      <c r="W3" s="44" t="str">
        <f>IF($A$1=1,"прогноз 10.2018","forecast 10.2018")</f>
        <v>прогноз 10.2018</v>
      </c>
      <c r="X3" s="35" t="s">
        <v>2</v>
      </c>
      <c r="Y3" s="35" t="s">
        <v>3</v>
      </c>
      <c r="Z3" s="35" t="s">
        <v>4</v>
      </c>
      <c r="AA3" s="35" t="s">
        <v>5</v>
      </c>
      <c r="AB3" s="37" t="str">
        <f>IF($A$1=1,"поточний прогноз","current forecast")</f>
        <v>поточний прогноз</v>
      </c>
    </row>
    <row r="4" spans="1:28" ht="15" customHeight="1" x14ac:dyDescent="0.25">
      <c r="B4" s="41"/>
      <c r="C4" s="43"/>
      <c r="D4" s="43"/>
      <c r="E4" s="43"/>
      <c r="F4" s="36"/>
      <c r="G4" s="36"/>
      <c r="H4" s="36"/>
      <c r="I4" s="36"/>
      <c r="J4" s="38"/>
      <c r="K4" s="45"/>
      <c r="L4" s="36"/>
      <c r="M4" s="36"/>
      <c r="N4" s="36"/>
      <c r="O4" s="36"/>
      <c r="P4" s="38"/>
      <c r="Q4" s="45"/>
      <c r="R4" s="36"/>
      <c r="S4" s="36"/>
      <c r="T4" s="36"/>
      <c r="U4" s="36"/>
      <c r="V4" s="38"/>
      <c r="W4" s="45"/>
      <c r="X4" s="36"/>
      <c r="Y4" s="36"/>
      <c r="Z4" s="36"/>
      <c r="AA4" s="36"/>
      <c r="AB4" s="38"/>
    </row>
    <row r="5" spans="1:28" s="7" customFormat="1" ht="15" customHeight="1" x14ac:dyDescent="0.25">
      <c r="B5" s="18" t="str">
        <f>IF(A1=1,"Реальний сектор, % р/р, якщо не зазначено інше","Real economy, % yoy, unless otherwise stated")</f>
        <v>Реальний сектор, % р/р, якщо не зазначено інше</v>
      </c>
      <c r="C5" s="19"/>
      <c r="D5" s="20"/>
      <c r="E5" s="19"/>
      <c r="F5" s="19"/>
      <c r="G5" s="19"/>
      <c r="H5" s="19"/>
      <c r="I5" s="19"/>
      <c r="J5" s="19"/>
      <c r="K5" s="21"/>
      <c r="L5" s="19"/>
      <c r="M5" s="19"/>
      <c r="N5" s="19"/>
      <c r="O5" s="19"/>
      <c r="P5" s="19"/>
      <c r="Q5" s="21"/>
      <c r="R5" s="19"/>
      <c r="S5" s="19"/>
      <c r="T5" s="19"/>
      <c r="U5" s="19"/>
      <c r="V5" s="19"/>
      <c r="W5" s="21"/>
      <c r="X5" s="19"/>
      <c r="Y5" s="19"/>
      <c r="Z5" s="19"/>
      <c r="AA5" s="19"/>
      <c r="AB5" s="19"/>
    </row>
    <row r="6" spans="1:28" s="7" customFormat="1" ht="15" customHeight="1" x14ac:dyDescent="0.25">
      <c r="B6" s="11" t="str">
        <f>IF(A1=1,"Номінальний ВВП, млрд грн","Nominal GDP, UAH bn")</f>
        <v>Номінальний ВВП, млрд грн</v>
      </c>
      <c r="C6" s="8">
        <v>1988.5</v>
      </c>
      <c r="D6" s="8">
        <v>2385</v>
      </c>
      <c r="E6" s="8">
        <v>2983.9</v>
      </c>
      <c r="F6" s="8">
        <v>700.4</v>
      </c>
      <c r="G6" s="8">
        <v>807.3</v>
      </c>
      <c r="H6" s="8">
        <v>994.4</v>
      </c>
      <c r="I6" s="8">
        <v>1050.5999999999999</v>
      </c>
      <c r="J6" s="8">
        <v>3552.7</v>
      </c>
      <c r="K6" s="25">
        <v>3539.7</v>
      </c>
      <c r="L6" s="8">
        <v>796.8</v>
      </c>
      <c r="M6" s="8">
        <v>902.4</v>
      </c>
      <c r="N6" s="8">
        <v>1105.2</v>
      </c>
      <c r="O6" s="8">
        <v>1160.3</v>
      </c>
      <c r="P6" s="8">
        <v>3964.6</v>
      </c>
      <c r="Q6" s="25">
        <v>3950.1</v>
      </c>
      <c r="R6" s="8">
        <v>874.9</v>
      </c>
      <c r="S6" s="8">
        <v>988.8</v>
      </c>
      <c r="T6" s="8">
        <v>1211.2</v>
      </c>
      <c r="U6" s="8">
        <v>1260.8</v>
      </c>
      <c r="V6" s="8">
        <v>4335.7</v>
      </c>
      <c r="W6" s="25">
        <v>4319.8</v>
      </c>
      <c r="X6" s="8">
        <v>952.6</v>
      </c>
      <c r="Y6" s="8">
        <v>1080.8</v>
      </c>
      <c r="Z6" s="8">
        <v>1327.4</v>
      </c>
      <c r="AA6" s="8">
        <v>1382.9</v>
      </c>
      <c r="AB6" s="8">
        <v>4743.6000000000004</v>
      </c>
    </row>
    <row r="7" spans="1:28" s="7" customFormat="1" ht="15" customHeight="1" x14ac:dyDescent="0.25">
      <c r="B7" s="11" t="str">
        <f>IF(A1=1,"Реальний ВВП","Real GDP")</f>
        <v>Реальний ВВП</v>
      </c>
      <c r="C7" s="9">
        <v>-9.8000000000000007</v>
      </c>
      <c r="D7" s="9">
        <v>2.4</v>
      </c>
      <c r="E7" s="9">
        <v>2.5</v>
      </c>
      <c r="F7" s="9">
        <v>3.1</v>
      </c>
      <c r="G7" s="9">
        <v>3.8</v>
      </c>
      <c r="H7" s="9">
        <v>2.8</v>
      </c>
      <c r="I7" s="9">
        <v>3.3</v>
      </c>
      <c r="J7" s="9">
        <v>3.3</v>
      </c>
      <c r="K7" s="26">
        <v>3.4</v>
      </c>
      <c r="L7" s="9">
        <v>2.9</v>
      </c>
      <c r="M7" s="9">
        <v>2.5</v>
      </c>
      <c r="N7" s="9">
        <v>2.4</v>
      </c>
      <c r="O7" s="9">
        <v>2.2999999999999998</v>
      </c>
      <c r="P7" s="9">
        <v>2.5</v>
      </c>
      <c r="Q7" s="26">
        <v>2.5</v>
      </c>
      <c r="R7" s="9">
        <v>2.6</v>
      </c>
      <c r="S7" s="9">
        <v>2.9</v>
      </c>
      <c r="T7" s="9">
        <v>3.1</v>
      </c>
      <c r="U7" s="9">
        <v>3</v>
      </c>
      <c r="V7" s="9">
        <v>2.9</v>
      </c>
      <c r="W7" s="26">
        <v>2.9</v>
      </c>
      <c r="X7" s="9">
        <v>3.2</v>
      </c>
      <c r="Y7" s="9">
        <v>3.6</v>
      </c>
      <c r="Z7" s="9">
        <v>3.9</v>
      </c>
      <c r="AA7" s="9">
        <v>4</v>
      </c>
      <c r="AB7" s="9">
        <v>3.7</v>
      </c>
    </row>
    <row r="8" spans="1:28" ht="15" customHeight="1" x14ac:dyDescent="0.25">
      <c r="B8" s="12" t="str">
        <f>IF(A1=1,"Дефлятор ВВП","GDP deflator")</f>
        <v>Дефлятор ВВП</v>
      </c>
      <c r="C8" s="5">
        <v>38.9</v>
      </c>
      <c r="D8" s="5">
        <v>17.100000000000001</v>
      </c>
      <c r="E8" s="5">
        <v>22.1</v>
      </c>
      <c r="F8" s="5">
        <v>14.9</v>
      </c>
      <c r="G8" s="5">
        <v>17</v>
      </c>
      <c r="H8" s="5">
        <v>16.100000000000001</v>
      </c>
      <c r="I8" s="5">
        <v>13.3</v>
      </c>
      <c r="J8" s="5">
        <v>15.3</v>
      </c>
      <c r="K8" s="27">
        <v>14.8</v>
      </c>
      <c r="L8" s="5">
        <v>10.5</v>
      </c>
      <c r="M8" s="5">
        <v>9</v>
      </c>
      <c r="N8" s="5">
        <v>8</v>
      </c>
      <c r="O8" s="5">
        <v>8</v>
      </c>
      <c r="P8" s="5">
        <v>8.9</v>
      </c>
      <c r="Q8" s="27">
        <v>8.9</v>
      </c>
      <c r="R8" s="5">
        <v>7</v>
      </c>
      <c r="S8" s="5">
        <v>6.5</v>
      </c>
      <c r="T8" s="5">
        <v>6</v>
      </c>
      <c r="U8" s="5">
        <v>5.5</v>
      </c>
      <c r="V8" s="5">
        <v>6.3</v>
      </c>
      <c r="W8" s="27">
        <v>6.3</v>
      </c>
      <c r="X8" s="5">
        <v>5.5</v>
      </c>
      <c r="Y8" s="5">
        <v>5.5</v>
      </c>
      <c r="Z8" s="5">
        <v>5.5</v>
      </c>
      <c r="AA8" s="5">
        <v>5.5</v>
      </c>
      <c r="AB8" s="5">
        <v>5.5</v>
      </c>
    </row>
    <row r="9" spans="1:28" ht="15" customHeight="1" x14ac:dyDescent="0.25">
      <c r="B9" s="13" t="str">
        <f>IF(A1=1,"ІСЦ (середнє за період)","Consumer prices (period average)")</f>
        <v>ІСЦ (середнє за період)</v>
      </c>
      <c r="C9" s="5">
        <v>48.7</v>
      </c>
      <c r="D9" s="5">
        <v>13.9</v>
      </c>
      <c r="E9" s="5">
        <v>14.4</v>
      </c>
      <c r="F9" s="5" t="s">
        <v>6</v>
      </c>
      <c r="G9" s="5" t="s">
        <v>6</v>
      </c>
      <c r="H9" s="5" t="s">
        <v>6</v>
      </c>
      <c r="I9" s="5" t="s">
        <v>6</v>
      </c>
      <c r="J9" s="5">
        <v>10.9</v>
      </c>
      <c r="K9" s="27">
        <v>10.9</v>
      </c>
      <c r="L9" s="5" t="s">
        <v>6</v>
      </c>
      <c r="M9" s="5" t="s">
        <v>6</v>
      </c>
      <c r="N9" s="5" t="s">
        <v>6</v>
      </c>
      <c r="O9" s="5" t="s">
        <v>6</v>
      </c>
      <c r="P9" s="5">
        <v>8.1</v>
      </c>
      <c r="Q9" s="27">
        <v>8.8000000000000007</v>
      </c>
      <c r="R9" s="5" t="s">
        <v>6</v>
      </c>
      <c r="S9" s="5" t="s">
        <v>6</v>
      </c>
      <c r="T9" s="5" t="s">
        <v>6</v>
      </c>
      <c r="U9" s="5" t="s">
        <v>6</v>
      </c>
      <c r="V9" s="5">
        <v>5.7</v>
      </c>
      <c r="W9" s="27">
        <v>5.6</v>
      </c>
      <c r="X9" s="5" t="s">
        <v>6</v>
      </c>
      <c r="Y9" s="5" t="s">
        <v>6</v>
      </c>
      <c r="Z9" s="5" t="s">
        <v>6</v>
      </c>
      <c r="AA9" s="5" t="s">
        <v>6</v>
      </c>
      <c r="AB9" s="5">
        <v>5.2</v>
      </c>
    </row>
    <row r="10" spans="1:28" ht="15" customHeight="1" x14ac:dyDescent="0.25">
      <c r="B10" s="13" t="str">
        <f>IF(A1=1,"ІЦВ (середнє за період)","Producer prices (period average)")</f>
        <v>ІЦВ (середнє за період)</v>
      </c>
      <c r="C10" s="5">
        <v>36</v>
      </c>
      <c r="D10" s="5">
        <v>20.5</v>
      </c>
      <c r="E10" s="5">
        <v>26.4</v>
      </c>
      <c r="F10" s="5" t="s">
        <v>6</v>
      </c>
      <c r="G10" s="5" t="s">
        <v>6</v>
      </c>
      <c r="H10" s="5" t="s">
        <v>6</v>
      </c>
      <c r="I10" s="5" t="s">
        <v>6</v>
      </c>
      <c r="J10" s="5">
        <v>17.399999999999999</v>
      </c>
      <c r="K10" s="27">
        <v>18.100000000000001</v>
      </c>
      <c r="L10" s="5" t="s">
        <v>6</v>
      </c>
      <c r="M10" s="5" t="s">
        <v>6</v>
      </c>
      <c r="N10" s="5" t="s">
        <v>6</v>
      </c>
      <c r="O10" s="5" t="s">
        <v>6</v>
      </c>
      <c r="P10" s="5">
        <v>9.6</v>
      </c>
      <c r="Q10" s="27">
        <v>12.5</v>
      </c>
      <c r="R10" s="5" t="s">
        <v>6</v>
      </c>
      <c r="S10" s="5" t="s">
        <v>6</v>
      </c>
      <c r="T10" s="5" t="s">
        <v>6</v>
      </c>
      <c r="U10" s="5" t="s">
        <v>6</v>
      </c>
      <c r="V10" s="5">
        <v>7.3</v>
      </c>
      <c r="W10" s="27">
        <v>7.8</v>
      </c>
      <c r="X10" s="5" t="s">
        <v>6</v>
      </c>
      <c r="Y10" s="5" t="s">
        <v>6</v>
      </c>
      <c r="Z10" s="5" t="s">
        <v>6</v>
      </c>
      <c r="AA10" s="5" t="s">
        <v>6</v>
      </c>
      <c r="AB10" s="5">
        <v>7.8</v>
      </c>
    </row>
    <row r="11" spans="1:28" s="7" customFormat="1" ht="15" customHeight="1" x14ac:dyDescent="0.25">
      <c r="B11" s="14" t="str">
        <f>IF(A1=1,"ІСЦ (на кінець періоду)","Consumer prices (end of period) ")</f>
        <v>ІСЦ (на кінець періоду)</v>
      </c>
      <c r="C11" s="10">
        <v>43.3</v>
      </c>
      <c r="D11" s="10">
        <v>12.4</v>
      </c>
      <c r="E11" s="10">
        <v>13.7</v>
      </c>
      <c r="F11" s="10">
        <v>13.2</v>
      </c>
      <c r="G11" s="10">
        <v>9.9</v>
      </c>
      <c r="H11" s="10">
        <v>8.9</v>
      </c>
      <c r="I11" s="10">
        <v>9.8000000000000007</v>
      </c>
      <c r="J11" s="10">
        <v>9.8000000000000007</v>
      </c>
      <c r="K11" s="28">
        <v>10.1</v>
      </c>
      <c r="L11" s="10">
        <v>8.4</v>
      </c>
      <c r="M11" s="10">
        <v>8.4</v>
      </c>
      <c r="N11" s="10">
        <v>7.7</v>
      </c>
      <c r="O11" s="10">
        <v>6.3</v>
      </c>
      <c r="P11" s="10">
        <v>6.3</v>
      </c>
      <c r="Q11" s="28">
        <v>6.3</v>
      </c>
      <c r="R11" s="10">
        <v>6</v>
      </c>
      <c r="S11" s="10">
        <v>6</v>
      </c>
      <c r="T11" s="10">
        <v>5.6</v>
      </c>
      <c r="U11" s="10">
        <v>5</v>
      </c>
      <c r="V11" s="10">
        <v>5</v>
      </c>
      <c r="W11" s="28">
        <v>5</v>
      </c>
      <c r="X11" s="10">
        <v>5.2</v>
      </c>
      <c r="Y11" s="10">
        <v>5.3</v>
      </c>
      <c r="Z11" s="10">
        <v>5.3</v>
      </c>
      <c r="AA11" s="10">
        <v>5</v>
      </c>
      <c r="AB11" s="10">
        <v>5</v>
      </c>
    </row>
    <row r="12" spans="1:28" ht="15" customHeight="1" x14ac:dyDescent="0.25">
      <c r="B12" s="15" t="str">
        <f>IF(A1=1,"Базова інфляція","Core inflation (end of period) ")</f>
        <v>Базова інфляція</v>
      </c>
      <c r="C12" s="5">
        <v>34.700000000000003</v>
      </c>
      <c r="D12" s="5">
        <v>5.8</v>
      </c>
      <c r="E12" s="5">
        <v>9.5</v>
      </c>
      <c r="F12" s="5">
        <v>9.4</v>
      </c>
      <c r="G12" s="5">
        <v>9</v>
      </c>
      <c r="H12" s="5">
        <v>8.6999999999999993</v>
      </c>
      <c r="I12" s="5">
        <v>8.6999999999999993</v>
      </c>
      <c r="J12" s="5">
        <v>8.6999999999999993</v>
      </c>
      <c r="K12" s="27">
        <v>7.9</v>
      </c>
      <c r="L12" s="5">
        <v>7.9</v>
      </c>
      <c r="M12" s="5">
        <v>7.6</v>
      </c>
      <c r="N12" s="5">
        <v>6.5</v>
      </c>
      <c r="O12" s="5">
        <v>5</v>
      </c>
      <c r="P12" s="5">
        <v>5</v>
      </c>
      <c r="Q12" s="27">
        <v>5.0999999999999996</v>
      </c>
      <c r="R12" s="5">
        <v>4.5</v>
      </c>
      <c r="S12" s="5">
        <v>4.0999999999999996</v>
      </c>
      <c r="T12" s="5">
        <v>3.8</v>
      </c>
      <c r="U12" s="5">
        <v>3.6</v>
      </c>
      <c r="V12" s="5">
        <v>3.6</v>
      </c>
      <c r="W12" s="27">
        <v>3.6</v>
      </c>
      <c r="X12" s="5">
        <v>3.6</v>
      </c>
      <c r="Y12" s="5">
        <v>3.8</v>
      </c>
      <c r="Z12" s="5">
        <v>3.7</v>
      </c>
      <c r="AA12" s="5">
        <v>3.7</v>
      </c>
      <c r="AB12" s="5">
        <v>3.7</v>
      </c>
    </row>
    <row r="13" spans="1:28" ht="15" customHeight="1" x14ac:dyDescent="0.25">
      <c r="B13" s="15" t="str">
        <f>IF(A1=1,"Небазова інфляція","Non-core inflation (end of period)")</f>
        <v>Небазова інфляція</v>
      </c>
      <c r="C13" s="5">
        <v>49.7</v>
      </c>
      <c r="D13" s="5">
        <v>17.5</v>
      </c>
      <c r="E13" s="5">
        <v>19.399999999999999</v>
      </c>
      <c r="F13" s="5">
        <v>17.899999999999999</v>
      </c>
      <c r="G13" s="5">
        <v>10.3</v>
      </c>
      <c r="H13" s="5">
        <v>8.8000000000000007</v>
      </c>
      <c r="I13" s="5">
        <v>10.7</v>
      </c>
      <c r="J13" s="5">
        <v>10.7</v>
      </c>
      <c r="K13" s="27">
        <v>13</v>
      </c>
      <c r="L13" s="5">
        <v>9.1</v>
      </c>
      <c r="M13" s="5">
        <v>9.8000000000000007</v>
      </c>
      <c r="N13" s="5">
        <v>9.3000000000000007</v>
      </c>
      <c r="O13" s="5">
        <v>8.1</v>
      </c>
      <c r="P13" s="5">
        <v>8.1</v>
      </c>
      <c r="Q13" s="27">
        <v>7.9</v>
      </c>
      <c r="R13" s="5">
        <v>8.1</v>
      </c>
      <c r="S13" s="5">
        <v>8.6999999999999993</v>
      </c>
      <c r="T13" s="5">
        <v>8</v>
      </c>
      <c r="U13" s="5">
        <v>7</v>
      </c>
      <c r="V13" s="5">
        <v>7</v>
      </c>
      <c r="W13" s="27">
        <v>6.9</v>
      </c>
      <c r="X13" s="5">
        <v>7.2</v>
      </c>
      <c r="Y13" s="5">
        <v>7.3</v>
      </c>
      <c r="Z13" s="5">
        <v>7.3</v>
      </c>
      <c r="AA13" s="5">
        <v>6.9</v>
      </c>
      <c r="AB13" s="5">
        <v>6.9</v>
      </c>
    </row>
    <row r="14" spans="1:28" ht="15" customHeight="1" x14ac:dyDescent="0.25">
      <c r="B14" s="16" t="str">
        <f>IF(A1=1,"Сирі продтовари","Raw foods (end of period)")</f>
        <v>Сирі продтовари</v>
      </c>
      <c r="C14" s="5">
        <v>40.700000000000003</v>
      </c>
      <c r="D14" s="5">
        <v>1.2</v>
      </c>
      <c r="E14" s="5">
        <v>23.5</v>
      </c>
      <c r="F14" s="5">
        <v>23.3</v>
      </c>
      <c r="G14" s="5">
        <v>5.2</v>
      </c>
      <c r="H14" s="5">
        <v>0.8</v>
      </c>
      <c r="I14" s="5">
        <v>3.3</v>
      </c>
      <c r="J14" s="5">
        <v>3.3</v>
      </c>
      <c r="K14" s="27">
        <v>4.9000000000000004</v>
      </c>
      <c r="L14" s="5">
        <v>1.2</v>
      </c>
      <c r="M14" s="5">
        <v>3</v>
      </c>
      <c r="N14" s="5">
        <v>3.1</v>
      </c>
      <c r="O14" s="5">
        <v>3.4</v>
      </c>
      <c r="P14" s="5">
        <v>3.4</v>
      </c>
      <c r="Q14" s="27">
        <v>4</v>
      </c>
      <c r="R14" s="5">
        <v>3.9</v>
      </c>
      <c r="S14" s="5">
        <v>5.5</v>
      </c>
      <c r="T14" s="5">
        <v>4.5999999999999996</v>
      </c>
      <c r="U14" s="5">
        <v>3</v>
      </c>
      <c r="V14" s="5">
        <v>3</v>
      </c>
      <c r="W14" s="27">
        <v>3.1</v>
      </c>
      <c r="X14" s="5">
        <v>3.1</v>
      </c>
      <c r="Y14" s="5">
        <v>3.3</v>
      </c>
      <c r="Z14" s="5">
        <v>3.3</v>
      </c>
      <c r="AA14" s="5">
        <v>3</v>
      </c>
      <c r="AB14" s="5">
        <v>3</v>
      </c>
    </row>
    <row r="15" spans="1:28" ht="15" customHeight="1" x14ac:dyDescent="0.25">
      <c r="B15" s="16" t="str">
        <f>IF(A1=1,"Адміністративно регульовані ціни","Administrative prices (end of period)")</f>
        <v>Адміністративно регульовані ціни</v>
      </c>
      <c r="C15" s="5">
        <v>64.400000000000006</v>
      </c>
      <c r="D15" s="5">
        <v>34.6</v>
      </c>
      <c r="E15" s="5">
        <v>16.100000000000001</v>
      </c>
      <c r="F15" s="5">
        <v>13.6</v>
      </c>
      <c r="G15" s="5">
        <v>13.2</v>
      </c>
      <c r="H15" s="5">
        <v>13.5</v>
      </c>
      <c r="I15" s="5">
        <v>18</v>
      </c>
      <c r="J15" s="5">
        <v>18</v>
      </c>
      <c r="K15" s="27">
        <v>18.399999999999999</v>
      </c>
      <c r="L15" s="5">
        <v>18</v>
      </c>
      <c r="M15" s="5">
        <v>18</v>
      </c>
      <c r="N15" s="5">
        <v>17.7</v>
      </c>
      <c r="O15" s="5">
        <v>13.6</v>
      </c>
      <c r="P15" s="5">
        <v>13.6</v>
      </c>
      <c r="Q15" s="27">
        <v>11.7</v>
      </c>
      <c r="R15" s="5">
        <v>12.7</v>
      </c>
      <c r="S15" s="5">
        <v>12.7</v>
      </c>
      <c r="T15" s="5">
        <v>11.8</v>
      </c>
      <c r="U15" s="5">
        <v>11.1</v>
      </c>
      <c r="V15" s="5">
        <v>11.1</v>
      </c>
      <c r="W15" s="27">
        <v>10.8</v>
      </c>
      <c r="X15" s="5">
        <v>11</v>
      </c>
      <c r="Y15" s="5">
        <v>10.6</v>
      </c>
      <c r="Z15" s="5">
        <v>10.6</v>
      </c>
      <c r="AA15" s="5">
        <v>10.3</v>
      </c>
      <c r="AB15" s="5">
        <v>10.3</v>
      </c>
    </row>
    <row r="16" spans="1:28" s="7" customFormat="1" ht="15" customHeight="1" x14ac:dyDescent="0.25">
      <c r="B16" s="14" t="str">
        <f>IF(A1=1,"ІЦВ (на кінець періоду)","Producer prices (end of period) ")</f>
        <v>ІЦВ (на кінець періоду)</v>
      </c>
      <c r="C16" s="10">
        <v>25.4</v>
      </c>
      <c r="D16" s="10">
        <v>35.700000000000003</v>
      </c>
      <c r="E16" s="10">
        <v>16.5</v>
      </c>
      <c r="F16" s="10">
        <v>15.9</v>
      </c>
      <c r="G16" s="10">
        <v>18.399999999999999</v>
      </c>
      <c r="H16" s="10">
        <v>18.899999999999999</v>
      </c>
      <c r="I16" s="10">
        <v>14.2</v>
      </c>
      <c r="J16" s="10">
        <v>14.2</v>
      </c>
      <c r="K16" s="28">
        <v>17.2</v>
      </c>
      <c r="L16" s="10">
        <v>11.9</v>
      </c>
      <c r="M16" s="10">
        <v>10.5</v>
      </c>
      <c r="N16" s="10">
        <v>7.6</v>
      </c>
      <c r="O16" s="10">
        <v>8.1999999999999993</v>
      </c>
      <c r="P16" s="10">
        <v>8.1999999999999993</v>
      </c>
      <c r="Q16" s="28">
        <v>8.6999999999999993</v>
      </c>
      <c r="R16" s="10">
        <v>6.6</v>
      </c>
      <c r="S16" s="10">
        <v>7.3</v>
      </c>
      <c r="T16" s="10">
        <v>7.2</v>
      </c>
      <c r="U16" s="10">
        <v>7.6</v>
      </c>
      <c r="V16" s="10">
        <v>7.6</v>
      </c>
      <c r="W16" s="28">
        <v>8.1999999999999993</v>
      </c>
      <c r="X16" s="10">
        <v>7.6</v>
      </c>
      <c r="Y16" s="10">
        <v>8</v>
      </c>
      <c r="Z16" s="10">
        <v>8</v>
      </c>
      <c r="AA16" s="10">
        <v>7.3</v>
      </c>
      <c r="AB16" s="10">
        <v>7.3</v>
      </c>
    </row>
    <row r="17" spans="1:28" ht="15" customHeight="1" x14ac:dyDescent="0.25">
      <c r="B17" s="12"/>
      <c r="C17" s="5"/>
      <c r="D17" s="5"/>
      <c r="E17" s="5"/>
      <c r="F17" s="5"/>
      <c r="G17" s="5"/>
      <c r="H17" s="5"/>
      <c r="I17" s="5"/>
      <c r="J17" s="5"/>
      <c r="K17" s="22"/>
      <c r="L17" s="5"/>
      <c r="M17" s="5"/>
      <c r="N17" s="5"/>
      <c r="O17" s="5"/>
      <c r="P17" s="5"/>
      <c r="Q17" s="22"/>
      <c r="R17" s="5"/>
      <c r="S17" s="5"/>
      <c r="T17" s="5"/>
      <c r="U17" s="5"/>
      <c r="V17" s="5"/>
      <c r="W17" s="22"/>
      <c r="X17" s="5"/>
      <c r="Y17" s="5"/>
      <c r="Z17" s="5"/>
      <c r="AA17" s="5"/>
      <c r="AB17" s="5"/>
    </row>
    <row r="18" spans="1:28" s="7" customFormat="1" ht="15" customHeight="1" x14ac:dyDescent="0.25">
      <c r="B18" s="18" t="str">
        <f>IF($A$1=1,"Фіскальний сектор","Fiscal Sector")</f>
        <v>Фіскальний сектор</v>
      </c>
      <c r="C18" s="19"/>
      <c r="D18" s="20"/>
      <c r="E18" s="19"/>
      <c r="F18" s="19"/>
      <c r="G18" s="19"/>
      <c r="H18" s="19"/>
      <c r="I18" s="19"/>
      <c r="J18" s="19"/>
      <c r="K18" s="21"/>
      <c r="L18" s="19"/>
      <c r="M18" s="19"/>
      <c r="N18" s="19"/>
      <c r="O18" s="19"/>
      <c r="P18" s="19"/>
      <c r="Q18" s="21"/>
      <c r="R18" s="19"/>
      <c r="S18" s="19"/>
      <c r="T18" s="19"/>
      <c r="U18" s="19"/>
      <c r="V18" s="19"/>
      <c r="W18" s="21"/>
      <c r="X18" s="19"/>
      <c r="Y18" s="19"/>
      <c r="Z18" s="19"/>
      <c r="AA18" s="19"/>
      <c r="AB18" s="19"/>
    </row>
    <row r="19" spans="1:28" s="7" customFormat="1" ht="15" customHeight="1" x14ac:dyDescent="0.25">
      <c r="B19" s="14" t="str">
        <f>IF($A$1=1,"Зведений бюджет, cальдо, млрд грн","Consolidated budget balance, UAH bn")</f>
        <v>Зведений бюджет, cальдо, млрд грн</v>
      </c>
      <c r="C19" s="10">
        <v>-30.9</v>
      </c>
      <c r="D19" s="10">
        <v>-54.8</v>
      </c>
      <c r="E19" s="10">
        <v>-42.1</v>
      </c>
      <c r="F19" s="10" t="s">
        <v>6</v>
      </c>
      <c r="G19" s="10" t="s">
        <v>6</v>
      </c>
      <c r="H19" s="10" t="s">
        <v>6</v>
      </c>
      <c r="I19" s="10" t="s">
        <v>6</v>
      </c>
      <c r="J19" s="10">
        <v>-67.8</v>
      </c>
      <c r="K19" s="28">
        <v>-69.099999999999994</v>
      </c>
      <c r="L19" s="10" t="s">
        <v>6</v>
      </c>
      <c r="M19" s="10" t="s">
        <v>6</v>
      </c>
      <c r="N19" s="10" t="s">
        <v>6</v>
      </c>
      <c r="O19" s="10" t="s">
        <v>6</v>
      </c>
      <c r="P19" s="10">
        <v>-61.4</v>
      </c>
      <c r="Q19" s="28">
        <v>-58.3</v>
      </c>
      <c r="R19" s="10" t="s">
        <v>6</v>
      </c>
      <c r="S19" s="10" t="s">
        <v>6</v>
      </c>
      <c r="T19" s="10" t="s">
        <v>6</v>
      </c>
      <c r="U19" s="10" t="s">
        <v>6</v>
      </c>
      <c r="V19" s="10">
        <v>-67.2</v>
      </c>
      <c r="W19" s="28">
        <v>-64.5</v>
      </c>
      <c r="X19" s="10" t="s">
        <v>6</v>
      </c>
      <c r="Y19" s="10" t="s">
        <v>6</v>
      </c>
      <c r="Z19" s="10" t="s">
        <v>6</v>
      </c>
      <c r="AA19" s="10" t="s">
        <v>6</v>
      </c>
      <c r="AB19" s="10">
        <v>-73.5</v>
      </c>
    </row>
    <row r="20" spans="1:28" ht="15" customHeight="1" x14ac:dyDescent="0.25">
      <c r="B20" s="15" t="str">
        <f>IF($A$1=1,"% ВВП","% of GDP")</f>
        <v>% ВВП</v>
      </c>
      <c r="C20" s="5">
        <v>-1.6</v>
      </c>
      <c r="D20" s="5">
        <v>-2.2999999999999998</v>
      </c>
      <c r="E20" s="5">
        <v>-1.4</v>
      </c>
      <c r="F20" s="5" t="s">
        <v>6</v>
      </c>
      <c r="G20" s="5" t="s">
        <v>6</v>
      </c>
      <c r="H20" s="5" t="s">
        <v>6</v>
      </c>
      <c r="I20" s="5" t="s">
        <v>6</v>
      </c>
      <c r="J20" s="5">
        <v>-1.9</v>
      </c>
      <c r="K20" s="27">
        <v>-2</v>
      </c>
      <c r="L20" s="5" t="s">
        <v>6</v>
      </c>
      <c r="M20" s="5" t="s">
        <v>6</v>
      </c>
      <c r="N20" s="5" t="s">
        <v>6</v>
      </c>
      <c r="O20" s="5" t="s">
        <v>6</v>
      </c>
      <c r="P20" s="5">
        <v>-1.5</v>
      </c>
      <c r="Q20" s="27">
        <v>-1.5</v>
      </c>
      <c r="R20" s="5" t="s">
        <v>6</v>
      </c>
      <c r="S20" s="5" t="s">
        <v>6</v>
      </c>
      <c r="T20" s="5" t="s">
        <v>6</v>
      </c>
      <c r="U20" s="5" t="s">
        <v>6</v>
      </c>
      <c r="V20" s="5">
        <v>-1.5</v>
      </c>
      <c r="W20" s="27">
        <v>-1.5</v>
      </c>
      <c r="X20" s="5" t="s">
        <v>6</v>
      </c>
      <c r="Y20" s="5" t="s">
        <v>6</v>
      </c>
      <c r="Z20" s="5" t="s">
        <v>6</v>
      </c>
      <c r="AA20" s="5" t="s">
        <v>6</v>
      </c>
      <c r="AB20" s="5">
        <v>-1.5</v>
      </c>
    </row>
    <row r="21" spans="1:28" s="7" customFormat="1" ht="15" customHeight="1" x14ac:dyDescent="0.25">
      <c r="B21" s="14" t="str">
        <f>IF($A$1=1,"Баланс CЗДУ (метод. МВФ), млрд грн","Public sector fiscal balance (IMF methodology), UAH bn")</f>
        <v>Баланс CЗДУ (метод. МВФ), млрд грн</v>
      </c>
      <c r="C21" s="10">
        <v>-17</v>
      </c>
      <c r="D21" s="10">
        <v>-50.3</v>
      </c>
      <c r="E21" s="10">
        <v>-38.4</v>
      </c>
      <c r="F21" s="10" t="s">
        <v>6</v>
      </c>
      <c r="G21" s="10" t="s">
        <v>6</v>
      </c>
      <c r="H21" s="10" t="s">
        <v>6</v>
      </c>
      <c r="I21" s="10" t="s">
        <v>6</v>
      </c>
      <c r="J21" s="10">
        <v>-72.8</v>
      </c>
      <c r="K21" s="28">
        <v>-69.3</v>
      </c>
      <c r="L21" s="10" t="s">
        <v>6</v>
      </c>
      <c r="M21" s="10" t="s">
        <v>6</v>
      </c>
      <c r="N21" s="10" t="s">
        <v>6</v>
      </c>
      <c r="O21" s="10" t="s">
        <v>6</v>
      </c>
      <c r="P21" s="10">
        <v>-59.6</v>
      </c>
      <c r="Q21" s="28">
        <v>-57.3</v>
      </c>
      <c r="R21" s="10" t="s">
        <v>6</v>
      </c>
      <c r="S21" s="10" t="s">
        <v>6</v>
      </c>
      <c r="T21" s="10" t="s">
        <v>6</v>
      </c>
      <c r="U21" s="10" t="s">
        <v>6</v>
      </c>
      <c r="V21" s="10">
        <v>-63.7</v>
      </c>
      <c r="W21" s="28">
        <v>-63.8</v>
      </c>
      <c r="X21" s="10" t="s">
        <v>6</v>
      </c>
      <c r="Y21" s="10" t="s">
        <v>6</v>
      </c>
      <c r="Z21" s="10" t="s">
        <v>6</v>
      </c>
      <c r="AA21" s="10" t="s">
        <v>6</v>
      </c>
      <c r="AB21" s="10">
        <v>-70.900000000000006</v>
      </c>
    </row>
    <row r="22" spans="1:28" ht="15" customHeight="1" x14ac:dyDescent="0.25">
      <c r="B22" s="15" t="str">
        <f>IF($A$1=1,"% ВВП","% of GDP")</f>
        <v>% ВВП</v>
      </c>
      <c r="C22" s="5">
        <v>-0.9</v>
      </c>
      <c r="D22" s="5">
        <v>-2.1</v>
      </c>
      <c r="E22" s="5">
        <v>-1.3</v>
      </c>
      <c r="F22" s="5" t="s">
        <v>6</v>
      </c>
      <c r="G22" s="5" t="s">
        <v>6</v>
      </c>
      <c r="H22" s="5" t="s">
        <v>6</v>
      </c>
      <c r="I22" s="5" t="s">
        <v>6</v>
      </c>
      <c r="J22" s="5">
        <v>-2</v>
      </c>
      <c r="K22" s="27">
        <v>-2</v>
      </c>
      <c r="L22" s="5" t="s">
        <v>6</v>
      </c>
      <c r="M22" s="5" t="s">
        <v>6</v>
      </c>
      <c r="N22" s="5" t="s">
        <v>6</v>
      </c>
      <c r="O22" s="5" t="s">
        <v>6</v>
      </c>
      <c r="P22" s="5">
        <v>-1.5</v>
      </c>
      <c r="Q22" s="27">
        <v>-1.5</v>
      </c>
      <c r="R22" s="5" t="s">
        <v>6</v>
      </c>
      <c r="S22" s="5" t="s">
        <v>6</v>
      </c>
      <c r="T22" s="5" t="s">
        <v>6</v>
      </c>
      <c r="U22" s="5" t="s">
        <v>6</v>
      </c>
      <c r="V22" s="5">
        <v>-1.5</v>
      </c>
      <c r="W22" s="27">
        <v>-1.5</v>
      </c>
      <c r="X22" s="5" t="s">
        <v>6</v>
      </c>
      <c r="Y22" s="5" t="s">
        <v>6</v>
      </c>
      <c r="Z22" s="5" t="s">
        <v>6</v>
      </c>
      <c r="AA22" s="5" t="s">
        <v>6</v>
      </c>
      <c r="AB22" s="5">
        <v>-1.5</v>
      </c>
    </row>
    <row r="23" spans="1:28" ht="15" customHeight="1" x14ac:dyDescent="0.25">
      <c r="A23" s="4"/>
      <c r="B23" s="17"/>
      <c r="C23" s="5"/>
      <c r="D23" s="4"/>
      <c r="E23" s="4"/>
      <c r="F23" s="5"/>
      <c r="G23" s="5"/>
      <c r="H23" s="5"/>
      <c r="I23" s="5"/>
      <c r="J23" s="4"/>
      <c r="K23" s="23"/>
      <c r="L23" s="5"/>
      <c r="M23" s="5"/>
      <c r="N23" s="5"/>
      <c r="O23" s="5"/>
      <c r="P23" s="4"/>
      <c r="Q23" s="23"/>
      <c r="R23" s="5"/>
      <c r="S23" s="5"/>
      <c r="T23" s="5"/>
      <c r="U23" s="5"/>
      <c r="V23" s="4"/>
      <c r="W23" s="23"/>
      <c r="X23" s="5"/>
      <c r="Y23" s="5"/>
      <c r="Z23" s="5"/>
      <c r="AA23" s="5"/>
      <c r="AB23" s="4"/>
    </row>
    <row r="24" spans="1:28" s="7" customFormat="1" ht="15" customHeight="1" x14ac:dyDescent="0.25">
      <c r="B24" s="18" t="str">
        <f>IF(A1=1,"Платіжний баланс (за аналітичною формою НБУ)","Balance of payments (NBU methodology)")</f>
        <v>Платіжний баланс (за аналітичною формою НБУ)</v>
      </c>
      <c r="C24" s="19"/>
      <c r="D24" s="20"/>
      <c r="E24" s="19"/>
      <c r="F24" s="19"/>
      <c r="G24" s="19"/>
      <c r="H24" s="19"/>
      <c r="I24" s="19"/>
      <c r="J24" s="19"/>
      <c r="K24" s="21"/>
      <c r="L24" s="19"/>
      <c r="M24" s="19"/>
      <c r="N24" s="19"/>
      <c r="O24" s="19"/>
      <c r="P24" s="19"/>
      <c r="Q24" s="21"/>
      <c r="R24" s="19"/>
      <c r="S24" s="19"/>
      <c r="T24" s="19"/>
      <c r="U24" s="19"/>
      <c r="V24" s="19"/>
      <c r="W24" s="21"/>
      <c r="X24" s="19"/>
      <c r="Y24" s="19"/>
      <c r="Z24" s="19"/>
      <c r="AA24" s="19"/>
      <c r="AB24" s="19"/>
    </row>
    <row r="25" spans="1:28" ht="15" customHeight="1" x14ac:dyDescent="0.25">
      <c r="B25" s="13" t="str">
        <f>IF(A1=1,"Поточний рахунок, млрд дол","Current account balance, USD bn")</f>
        <v>Поточний рахунок, млрд дол</v>
      </c>
      <c r="C25" s="5">
        <v>1.6</v>
      </c>
      <c r="D25" s="5">
        <v>-1.3</v>
      </c>
      <c r="E25" s="5">
        <v>-2.4</v>
      </c>
      <c r="F25" s="5">
        <v>-0.6</v>
      </c>
      <c r="G25" s="5">
        <v>0</v>
      </c>
      <c r="H25" s="5">
        <v>-2.7</v>
      </c>
      <c r="I25" s="5">
        <v>-1.3</v>
      </c>
      <c r="J25" s="5">
        <v>-4.7</v>
      </c>
      <c r="K25" s="27">
        <v>-3.4</v>
      </c>
      <c r="L25" s="5">
        <v>-1</v>
      </c>
      <c r="M25" s="5">
        <v>-1</v>
      </c>
      <c r="N25" s="5">
        <v>-1.8</v>
      </c>
      <c r="O25" s="5">
        <v>-0.7</v>
      </c>
      <c r="P25" s="5">
        <v>-4.5</v>
      </c>
      <c r="Q25" s="27">
        <v>-3.5</v>
      </c>
      <c r="R25" s="5">
        <v>-1.7</v>
      </c>
      <c r="S25" s="5">
        <v>-1.3</v>
      </c>
      <c r="T25" s="5">
        <v>-1.7</v>
      </c>
      <c r="U25" s="5">
        <v>-1</v>
      </c>
      <c r="V25" s="5">
        <v>-5.6</v>
      </c>
      <c r="W25" s="27">
        <v>-4.2</v>
      </c>
      <c r="X25" s="5">
        <v>-1.4</v>
      </c>
      <c r="Y25" s="5">
        <v>-1.3</v>
      </c>
      <c r="Z25" s="5">
        <v>-1.9</v>
      </c>
      <c r="AA25" s="5">
        <v>-1.5</v>
      </c>
      <c r="AB25" s="5">
        <v>-6.2</v>
      </c>
    </row>
    <row r="26" spans="1:28" ht="15" customHeight="1" x14ac:dyDescent="0.25">
      <c r="B26" s="13" t="str">
        <f>IF(A1=1,"Фінансовий рахунок, млрд дол","Financial account balance, USD bn")</f>
        <v>Фінансовий рахунок, млрд дол</v>
      </c>
      <c r="C26" s="5">
        <v>1.2</v>
      </c>
      <c r="D26" s="5">
        <v>-2.6</v>
      </c>
      <c r="E26" s="5">
        <v>-5</v>
      </c>
      <c r="F26" s="5">
        <v>-0.3</v>
      </c>
      <c r="G26" s="5">
        <v>-0.6</v>
      </c>
      <c r="H26" s="5">
        <v>-2</v>
      </c>
      <c r="I26" s="5">
        <v>-4.5999999999999996</v>
      </c>
      <c r="J26" s="5">
        <v>-7.5</v>
      </c>
      <c r="K26" s="27">
        <v>-4.2</v>
      </c>
      <c r="L26" s="5">
        <v>-0.7</v>
      </c>
      <c r="M26" s="5">
        <v>-1.9</v>
      </c>
      <c r="N26" s="5">
        <v>-0.3</v>
      </c>
      <c r="O26" s="5">
        <v>-0.5</v>
      </c>
      <c r="P26" s="5">
        <v>-3.4</v>
      </c>
      <c r="Q26" s="27">
        <v>-1.9</v>
      </c>
      <c r="R26" s="5">
        <v>-2.5</v>
      </c>
      <c r="S26" s="5">
        <v>-2</v>
      </c>
      <c r="T26" s="5">
        <v>-0.6</v>
      </c>
      <c r="U26" s="5">
        <v>-0.5</v>
      </c>
      <c r="V26" s="5">
        <v>-5.5</v>
      </c>
      <c r="W26" s="27">
        <v>-3.9</v>
      </c>
      <c r="X26" s="5">
        <v>-2.1</v>
      </c>
      <c r="Y26" s="5">
        <v>-1.6</v>
      </c>
      <c r="Z26" s="5">
        <v>-0.7</v>
      </c>
      <c r="AA26" s="5">
        <v>-1.1000000000000001</v>
      </c>
      <c r="AB26" s="5">
        <v>-5.5</v>
      </c>
    </row>
    <row r="27" spans="1:28" s="7" customFormat="1" ht="15" customHeight="1" x14ac:dyDescent="0.25">
      <c r="B27" s="14" t="str">
        <f>IF(A1=1,"Зведений баланс, млрд дол","BoP overall balance, USD bn")</f>
        <v>Зведений баланс, млрд дол</v>
      </c>
      <c r="C27" s="10">
        <v>0.8</v>
      </c>
      <c r="D27" s="10">
        <v>1.3</v>
      </c>
      <c r="E27" s="10">
        <v>2.6</v>
      </c>
      <c r="F27" s="10">
        <v>-0.3</v>
      </c>
      <c r="G27" s="10">
        <v>0.6</v>
      </c>
      <c r="H27" s="10">
        <v>-0.7</v>
      </c>
      <c r="I27" s="10">
        <v>3.3</v>
      </c>
      <c r="J27" s="10">
        <v>2.9</v>
      </c>
      <c r="K27" s="28">
        <v>0.8</v>
      </c>
      <c r="L27" s="10">
        <v>-0.4</v>
      </c>
      <c r="M27" s="10">
        <v>1</v>
      </c>
      <c r="N27" s="10">
        <v>-1.5</v>
      </c>
      <c r="O27" s="10">
        <v>-0.2</v>
      </c>
      <c r="P27" s="10">
        <v>-1.1000000000000001</v>
      </c>
      <c r="Q27" s="28">
        <v>-1.6</v>
      </c>
      <c r="R27" s="10">
        <v>0.7</v>
      </c>
      <c r="S27" s="10">
        <v>0.7</v>
      </c>
      <c r="T27" s="10">
        <v>-1</v>
      </c>
      <c r="U27" s="10">
        <v>-0.5</v>
      </c>
      <c r="V27" s="10">
        <v>-0.1</v>
      </c>
      <c r="W27" s="28">
        <v>-0.4</v>
      </c>
      <c r="X27" s="10">
        <v>0.7</v>
      </c>
      <c r="Y27" s="10">
        <v>0.2</v>
      </c>
      <c r="Z27" s="10">
        <v>-1.2</v>
      </c>
      <c r="AA27" s="10">
        <v>-0.5</v>
      </c>
      <c r="AB27" s="10">
        <v>-0.7</v>
      </c>
    </row>
    <row r="28" spans="1:28" s="7" customFormat="1" ht="15" customHeight="1" x14ac:dyDescent="0.25">
      <c r="B28" s="14" t="str">
        <f>IF(A1=1,"Валові резерви, млрд дол","Gross reserves, USD bn")</f>
        <v>Валові резерви, млрд дол</v>
      </c>
      <c r="C28" s="10">
        <v>13.3</v>
      </c>
      <c r="D28" s="10">
        <v>15.5</v>
      </c>
      <c r="E28" s="10">
        <v>18.8</v>
      </c>
      <c r="F28" s="10">
        <v>18.2</v>
      </c>
      <c r="G28" s="10">
        <v>18</v>
      </c>
      <c r="H28" s="10">
        <v>16.600000000000001</v>
      </c>
      <c r="I28" s="10">
        <v>20.8</v>
      </c>
      <c r="J28" s="10">
        <v>20.8</v>
      </c>
      <c r="K28" s="28">
        <v>19.2</v>
      </c>
      <c r="L28" s="10">
        <v>20</v>
      </c>
      <c r="M28" s="10">
        <v>21.7</v>
      </c>
      <c r="N28" s="10">
        <v>19.600000000000001</v>
      </c>
      <c r="O28" s="10">
        <v>20.6</v>
      </c>
      <c r="P28" s="10">
        <v>20.6</v>
      </c>
      <c r="Q28" s="28">
        <v>18.600000000000001</v>
      </c>
      <c r="R28" s="10">
        <v>21.8</v>
      </c>
      <c r="S28" s="10">
        <v>22.5</v>
      </c>
      <c r="T28" s="10">
        <v>21.9</v>
      </c>
      <c r="U28" s="10">
        <v>21.4</v>
      </c>
      <c r="V28" s="10">
        <v>21.4</v>
      </c>
      <c r="W28" s="28">
        <v>19.100000000000001</v>
      </c>
      <c r="X28" s="10">
        <v>22.5</v>
      </c>
      <c r="Y28" s="10">
        <v>22.7</v>
      </c>
      <c r="Z28" s="10">
        <v>21.9</v>
      </c>
      <c r="AA28" s="10">
        <v>21.4</v>
      </c>
      <c r="AB28" s="10">
        <v>21.4</v>
      </c>
    </row>
    <row r="29" spans="1:28" ht="15" customHeight="1" x14ac:dyDescent="0.25">
      <c r="B29" s="15" t="str">
        <f>IF(A1=1,"Місяців імпорту майбутнього періоду","Months of future imports")</f>
        <v>Місяців імпорту майбутнього періоду</v>
      </c>
      <c r="C29" s="5">
        <v>3</v>
      </c>
      <c r="D29" s="5">
        <v>3</v>
      </c>
      <c r="E29" s="5">
        <v>3.2</v>
      </c>
      <c r="F29" s="5">
        <v>3</v>
      </c>
      <c r="G29" s="5">
        <v>2.9</v>
      </c>
      <c r="H29" s="5">
        <v>2.7</v>
      </c>
      <c r="I29" s="5">
        <v>3.4</v>
      </c>
      <c r="J29" s="5">
        <v>3.4</v>
      </c>
      <c r="K29" s="27">
        <v>3.2</v>
      </c>
      <c r="L29" s="5">
        <v>3.2</v>
      </c>
      <c r="M29" s="5">
        <v>3.5</v>
      </c>
      <c r="N29" s="5">
        <v>3.1</v>
      </c>
      <c r="O29" s="5">
        <v>3.3</v>
      </c>
      <c r="P29" s="5">
        <v>3.3</v>
      </c>
      <c r="Q29" s="27">
        <v>3</v>
      </c>
      <c r="R29" s="5">
        <v>3.4</v>
      </c>
      <c r="S29" s="5">
        <v>3.5</v>
      </c>
      <c r="T29" s="5">
        <v>3.4</v>
      </c>
      <c r="U29" s="5">
        <v>3.3</v>
      </c>
      <c r="V29" s="5">
        <v>3.3</v>
      </c>
      <c r="W29" s="27">
        <v>3</v>
      </c>
      <c r="X29" s="5">
        <v>3.4</v>
      </c>
      <c r="Y29" s="5">
        <v>3.4</v>
      </c>
      <c r="Z29" s="5">
        <v>3.2</v>
      </c>
      <c r="AA29" s="5">
        <v>3.1</v>
      </c>
      <c r="AB29" s="5">
        <v>3.1</v>
      </c>
    </row>
    <row r="30" spans="1:28" ht="15" customHeight="1" x14ac:dyDescent="0.25">
      <c r="B30" s="13" t="str">
        <f>IF(A1=1,"Експорт товарів, річна зміна (%)","Exports of goods, % yoy")</f>
        <v>Експорт товарів, річна зміна (%)</v>
      </c>
      <c r="C30" s="5">
        <v>-29.9</v>
      </c>
      <c r="D30" s="5">
        <v>-5.3</v>
      </c>
      <c r="E30" s="5">
        <v>18.3</v>
      </c>
      <c r="F30" s="5">
        <v>8.6</v>
      </c>
      <c r="G30" s="5">
        <v>14.8</v>
      </c>
      <c r="H30" s="5">
        <v>6.3</v>
      </c>
      <c r="I30" s="5">
        <v>7.4</v>
      </c>
      <c r="J30" s="5">
        <v>9.1999999999999993</v>
      </c>
      <c r="K30" s="27">
        <v>10.3</v>
      </c>
      <c r="L30" s="5">
        <v>4</v>
      </c>
      <c r="M30" s="5">
        <v>-0.4</v>
      </c>
      <c r="N30" s="5">
        <v>2.6</v>
      </c>
      <c r="O30" s="5">
        <v>0.5</v>
      </c>
      <c r="P30" s="5">
        <v>1.6</v>
      </c>
      <c r="Q30" s="27">
        <v>-1</v>
      </c>
      <c r="R30" s="5">
        <v>-0.7</v>
      </c>
      <c r="S30" s="5">
        <v>0.6</v>
      </c>
      <c r="T30" s="5">
        <v>5.9</v>
      </c>
      <c r="U30" s="5">
        <v>6.3</v>
      </c>
      <c r="V30" s="5">
        <v>3.1</v>
      </c>
      <c r="W30" s="27">
        <v>4.4000000000000004</v>
      </c>
      <c r="X30" s="5">
        <v>3.9</v>
      </c>
      <c r="Y30" s="5">
        <v>3.8</v>
      </c>
      <c r="Z30" s="5">
        <v>4</v>
      </c>
      <c r="AA30" s="5">
        <v>2</v>
      </c>
      <c r="AB30" s="5">
        <v>3.4</v>
      </c>
    </row>
    <row r="31" spans="1:28" ht="15" customHeight="1" x14ac:dyDescent="0.25">
      <c r="A31" s="4"/>
      <c r="B31" s="13" t="str">
        <f>IF(A1=1,"Імпорт товарів, річна зміна (%)","Imports of goods, % yoy")</f>
        <v>Імпорт товарів, річна зміна (%)</v>
      </c>
      <c r="C31" s="5">
        <v>-32.6</v>
      </c>
      <c r="D31" s="5">
        <v>4.2</v>
      </c>
      <c r="E31" s="5">
        <v>21.9</v>
      </c>
      <c r="F31" s="5">
        <v>12.8</v>
      </c>
      <c r="G31" s="5">
        <v>14.7</v>
      </c>
      <c r="H31" s="5">
        <v>17.399999999999999</v>
      </c>
      <c r="I31" s="5">
        <v>11.5</v>
      </c>
      <c r="J31" s="5">
        <v>14</v>
      </c>
      <c r="K31" s="27">
        <v>12.1</v>
      </c>
      <c r="L31" s="5">
        <v>10.199999999999999</v>
      </c>
      <c r="M31" s="5">
        <v>7.5</v>
      </c>
      <c r="N31" s="5">
        <v>-2</v>
      </c>
      <c r="O31" s="5">
        <v>-3.4</v>
      </c>
      <c r="P31" s="5">
        <v>2.5</v>
      </c>
      <c r="Q31" s="27">
        <v>2</v>
      </c>
      <c r="R31" s="5">
        <v>2.9</v>
      </c>
      <c r="S31" s="5">
        <v>0.7</v>
      </c>
      <c r="T31" s="5">
        <v>3.6</v>
      </c>
      <c r="U31" s="5">
        <v>5.2</v>
      </c>
      <c r="V31" s="5">
        <v>3.1</v>
      </c>
      <c r="W31" s="27">
        <v>2.6</v>
      </c>
      <c r="X31" s="5">
        <v>2.7</v>
      </c>
      <c r="Y31" s="5">
        <v>4.3</v>
      </c>
      <c r="Z31" s="5">
        <v>4.9000000000000004</v>
      </c>
      <c r="AA31" s="5">
        <v>5.5</v>
      </c>
      <c r="AB31" s="5">
        <v>4.4000000000000004</v>
      </c>
    </row>
    <row r="32" spans="1:28" ht="15" customHeight="1" x14ac:dyDescent="0.25">
      <c r="B32" s="4"/>
      <c r="C32" s="6"/>
      <c r="D32" s="6"/>
      <c r="E32" s="6"/>
      <c r="F32" s="6"/>
      <c r="G32" s="6"/>
      <c r="H32" s="6"/>
      <c r="I32" s="6"/>
      <c r="J32" s="6"/>
      <c r="K32" s="24"/>
      <c r="L32" s="6"/>
      <c r="M32" s="6"/>
      <c r="N32" s="6"/>
      <c r="O32" s="6"/>
      <c r="P32" s="6"/>
      <c r="Q32" s="24"/>
      <c r="R32" s="6"/>
      <c r="S32" s="6"/>
      <c r="T32" s="6"/>
      <c r="U32" s="6"/>
      <c r="V32" s="6"/>
      <c r="W32" s="24"/>
      <c r="X32" s="6"/>
      <c r="Y32" s="6"/>
      <c r="Z32" s="6"/>
      <c r="AA32" s="6"/>
      <c r="AB32" s="6"/>
    </row>
    <row r="33" spans="2:29" s="7" customFormat="1" ht="15" customHeight="1" x14ac:dyDescent="0.25">
      <c r="B33" s="18" t="str">
        <f>IF(A1=1,"Монетарні рахунки (зміна з початку року, %)","Monetary accounts (Qumulative since the beginning of the year)")</f>
        <v>Монетарні рахунки (зміна з початку року, %)</v>
      </c>
      <c r="C33" s="19"/>
      <c r="D33" s="20"/>
      <c r="E33" s="19"/>
      <c r="F33" s="19"/>
      <c r="G33" s="19"/>
      <c r="H33" s="19"/>
      <c r="I33" s="19"/>
      <c r="J33" s="19"/>
      <c r="K33" s="21"/>
      <c r="L33" s="19"/>
      <c r="M33" s="19"/>
      <c r="N33" s="19"/>
      <c r="O33" s="19"/>
      <c r="P33" s="19"/>
      <c r="Q33" s="21"/>
      <c r="R33" s="19"/>
      <c r="S33" s="19"/>
      <c r="T33" s="19"/>
      <c r="U33" s="19"/>
      <c r="V33" s="19"/>
      <c r="W33" s="21"/>
      <c r="X33" s="19"/>
      <c r="Y33" s="19"/>
      <c r="Z33" s="19"/>
      <c r="AA33" s="19"/>
      <c r="AB33" s="19"/>
    </row>
    <row r="34" spans="2:29" ht="15" customHeight="1" x14ac:dyDescent="0.25">
      <c r="B34" s="13" t="str">
        <f>IF(A1=1,"Грошова база, %","Monetary base, %")</f>
        <v>Грошова база, %</v>
      </c>
      <c r="C34" s="5">
        <v>0.8</v>
      </c>
      <c r="D34" s="5">
        <v>13.6</v>
      </c>
      <c r="E34" s="5">
        <v>4.5999999999999996</v>
      </c>
      <c r="F34" s="5">
        <v>-1.5</v>
      </c>
      <c r="G34" s="5">
        <v>5.2</v>
      </c>
      <c r="H34" s="5">
        <v>6.3</v>
      </c>
      <c r="I34" s="5">
        <v>9.1999999999999993</v>
      </c>
      <c r="J34" s="5">
        <v>9.1999999999999993</v>
      </c>
      <c r="K34" s="27">
        <v>12.2</v>
      </c>
      <c r="L34" s="5">
        <v>1.1000000000000001</v>
      </c>
      <c r="M34" s="5">
        <v>5.3</v>
      </c>
      <c r="N34" s="5">
        <v>5.0999999999999996</v>
      </c>
      <c r="O34" s="5">
        <v>10.7</v>
      </c>
      <c r="P34" s="5">
        <v>10.7</v>
      </c>
      <c r="Q34" s="27">
        <v>6.9</v>
      </c>
      <c r="R34" s="5">
        <v>-2.8</v>
      </c>
      <c r="S34" s="5">
        <v>1.5</v>
      </c>
      <c r="T34" s="5">
        <v>1.2</v>
      </c>
      <c r="U34" s="5">
        <v>6.5</v>
      </c>
      <c r="V34" s="5">
        <v>6.5</v>
      </c>
      <c r="W34" s="27">
        <v>6</v>
      </c>
      <c r="X34" s="5">
        <v>-3</v>
      </c>
      <c r="Y34" s="5">
        <v>0.8</v>
      </c>
      <c r="Z34" s="5">
        <v>0.7</v>
      </c>
      <c r="AA34" s="5">
        <v>6.2</v>
      </c>
      <c r="AB34" s="5">
        <v>6.2</v>
      </c>
    </row>
    <row r="35" spans="2:29" ht="15" customHeight="1" x14ac:dyDescent="0.25">
      <c r="B35" s="13" t="str">
        <f>IF(A1=1,"Грошова маса, %","Broad money, %")</f>
        <v>Грошова маса, %</v>
      </c>
      <c r="C35" s="5">
        <v>3.9</v>
      </c>
      <c r="D35" s="5">
        <v>10.9</v>
      </c>
      <c r="E35" s="5">
        <v>9.6</v>
      </c>
      <c r="F35" s="5">
        <v>-3.3</v>
      </c>
      <c r="G35" s="5">
        <v>0.3</v>
      </c>
      <c r="H35" s="5">
        <v>3.4</v>
      </c>
      <c r="I35" s="5">
        <v>5.6</v>
      </c>
      <c r="J35" s="5">
        <v>5.6</v>
      </c>
      <c r="K35" s="27">
        <v>9.6</v>
      </c>
      <c r="L35" s="5">
        <v>-1.1000000000000001</v>
      </c>
      <c r="M35" s="5">
        <v>1.4</v>
      </c>
      <c r="N35" s="5">
        <v>3.8</v>
      </c>
      <c r="O35" s="5">
        <v>8.9</v>
      </c>
      <c r="P35" s="5">
        <v>8.9</v>
      </c>
      <c r="Q35" s="27">
        <v>8.6999999999999993</v>
      </c>
      <c r="R35" s="5">
        <v>-2.1</v>
      </c>
      <c r="S35" s="5">
        <v>0.7</v>
      </c>
      <c r="T35" s="5">
        <v>2.7</v>
      </c>
      <c r="U35" s="5">
        <v>8.5</v>
      </c>
      <c r="V35" s="5">
        <v>8.5</v>
      </c>
      <c r="W35" s="27">
        <v>8.3000000000000007</v>
      </c>
      <c r="X35" s="5">
        <v>-2.4</v>
      </c>
      <c r="Y35" s="5">
        <v>-0.2</v>
      </c>
      <c r="Z35" s="5">
        <v>2.5</v>
      </c>
      <c r="AA35" s="5">
        <v>8.5</v>
      </c>
      <c r="AB35" s="5">
        <v>8.5</v>
      </c>
    </row>
    <row r="36" spans="2:29" ht="15" customHeight="1" x14ac:dyDescent="0.25">
      <c r="B36" s="29" t="str">
        <f>IF(A1=1,"Швидкість обертання (на кінець року, разів)","Velocity of broad money, ratio (end of year)")</f>
        <v>Швидкість обертання (на кінець року, разів)</v>
      </c>
      <c r="C36" s="30">
        <v>2</v>
      </c>
      <c r="D36" s="30">
        <v>2.2000000000000002</v>
      </c>
      <c r="E36" s="30">
        <v>2.5</v>
      </c>
      <c r="F36" s="30" t="s">
        <v>6</v>
      </c>
      <c r="G36" s="30" t="s">
        <v>6</v>
      </c>
      <c r="H36" s="30" t="s">
        <v>6</v>
      </c>
      <c r="I36" s="30" t="s">
        <v>6</v>
      </c>
      <c r="J36" s="30">
        <v>2.8</v>
      </c>
      <c r="K36" s="31">
        <v>2.7</v>
      </c>
      <c r="L36" s="30" t="s">
        <v>6</v>
      </c>
      <c r="M36" s="30" t="s">
        <v>6</v>
      </c>
      <c r="N36" s="30" t="s">
        <v>6</v>
      </c>
      <c r="O36" s="30" t="s">
        <v>6</v>
      </c>
      <c r="P36" s="30">
        <v>2.9</v>
      </c>
      <c r="Q36" s="31">
        <v>2.7</v>
      </c>
      <c r="R36" s="30" t="s">
        <v>6</v>
      </c>
      <c r="S36" s="30" t="s">
        <v>6</v>
      </c>
      <c r="T36" s="30" t="s">
        <v>6</v>
      </c>
      <c r="U36" s="30" t="s">
        <v>6</v>
      </c>
      <c r="V36" s="30">
        <v>2.9</v>
      </c>
      <c r="W36" s="31">
        <v>2.8</v>
      </c>
      <c r="X36" s="30" t="s">
        <v>6</v>
      </c>
      <c r="Y36" s="30" t="s">
        <v>6</v>
      </c>
      <c r="Z36" s="30" t="s">
        <v>6</v>
      </c>
      <c r="AA36" s="30" t="s">
        <v>6</v>
      </c>
      <c r="AB36" s="30">
        <v>2.9</v>
      </c>
    </row>
    <row r="37" spans="2:29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70" spans="3:28" ht="15" customHeight="1" x14ac:dyDescent="0.25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3:28" ht="15" customHeight="1" x14ac:dyDescent="0.25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3:28" ht="15" customHeight="1" x14ac:dyDescent="0.2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3:28" ht="15" customHeight="1" x14ac:dyDescent="0.2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3:28" ht="15" customHeight="1" x14ac:dyDescent="0.2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3:28" ht="15" customHeight="1" x14ac:dyDescent="0.2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3:28" ht="15" customHeight="1" x14ac:dyDescent="0.2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</sheetData>
  <mergeCells count="32">
    <mergeCell ref="R3:R4"/>
    <mergeCell ref="P3:P4"/>
    <mergeCell ref="E2:E4"/>
    <mergeCell ref="L2:Q2"/>
    <mergeCell ref="R2:W2"/>
    <mergeCell ref="V3:V4"/>
    <mergeCell ref="F2:K2"/>
    <mergeCell ref="S3:S4"/>
    <mergeCell ref="T3:T4"/>
    <mergeCell ref="U3:U4"/>
    <mergeCell ref="W3:W4"/>
    <mergeCell ref="L3:L4"/>
    <mergeCell ref="M3:M4"/>
    <mergeCell ref="N3:N4"/>
    <mergeCell ref="O3:O4"/>
    <mergeCell ref="Q3:Q4"/>
    <mergeCell ref="B1:AB1"/>
    <mergeCell ref="X2:AB2"/>
    <mergeCell ref="X3:X4"/>
    <mergeCell ref="Y3:Y4"/>
    <mergeCell ref="Z3:Z4"/>
    <mergeCell ref="AA3:AA4"/>
    <mergeCell ref="AB3:AB4"/>
    <mergeCell ref="B2:B4"/>
    <mergeCell ref="C2:C4"/>
    <mergeCell ref="D2:D4"/>
    <mergeCell ref="J3:J4"/>
    <mergeCell ref="K3:K4"/>
    <mergeCell ref="F3:F4"/>
    <mergeCell ref="G3:G4"/>
    <mergeCell ref="H3:H4"/>
    <mergeCell ref="I3:I4"/>
  </mergeCells>
  <pageMargins left="0.55118110236220474" right="0.11811023622047245" top="3.937007874015748E-2" bottom="7.874015748031496E-2" header="0.15748031496062992" footer="0.19685039370078741"/>
  <pageSetup paperSize="9" scale="51" orientation="landscape" horizontalDpi="4294967294" r:id="rId1"/>
  <headerFooter alignWithMargins="0">
    <oddFooter>&amp;R&amp;D</oddFooter>
  </headerFooter>
  <ignoredErrors>
    <ignoredError sqref="B2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Forecast</vt:lpstr>
      <vt:lpstr>Forecast!Область_друку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Андрющенков</dc:creator>
  <cp:lastModifiedBy>Юхименко Тетяна Василівна</cp:lastModifiedBy>
  <dcterms:created xsi:type="dcterms:W3CDTF">2018-11-01T14:33:00Z</dcterms:created>
  <dcterms:modified xsi:type="dcterms:W3CDTF">2019-02-07T17:39:44Z</dcterms:modified>
</cp:coreProperties>
</file>