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trlProps/ctrlProp20.xml" ContentType="application/vnd.ms-excel.controlproperties+xml"/>
  <Override PartName="/xl/drawings/drawing7.xml" ContentType="application/vnd.openxmlformats-officedocument.drawing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ЦяКнига"/>
  <bookViews>
    <workbookView xWindow="0" yWindow="0" windowWidth="19200" windowHeight="5892" tabRatio="722"/>
  </bookViews>
  <sheets>
    <sheet name="Individual banks" sheetId="7" r:id="rId1"/>
    <sheet name="Comparison with 2021" sheetId="24" r:id="rId2"/>
    <sheet name="Comparison of banks" sheetId="14" r:id="rId3"/>
    <sheet name="Comparison with group" sheetId="11" r:id="rId4"/>
    <sheet name="Capital need" sheetId="15" r:id="rId5"/>
    <sheet name="Data table" sheetId="26" r:id="rId6"/>
    <sheet name="2021 data table" sheetId="6" r:id="rId7"/>
  </sheets>
  <externalReferences>
    <externalReference r:id="rId8"/>
  </externalReferences>
  <definedNames>
    <definedName name="_xlnm._FilterDatabase" localSheetId="6" hidden="1">'2021 data table'!$A$9:$BA$9</definedName>
    <definedName name="_xlnm._FilterDatabase" localSheetId="5" hidden="1">'Data table'!#REF!</definedName>
    <definedName name="LANG">[1]intro!$C$6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1" l="1"/>
  <c r="H10" i="11"/>
  <c r="H11" i="11"/>
  <c r="G12" i="11"/>
  <c r="G11" i="11"/>
  <c r="G10" i="11"/>
  <c r="H8" i="11"/>
  <c r="G8" i="11"/>
  <c r="H7" i="11"/>
  <c r="G7" i="11"/>
  <c r="H4" i="15"/>
  <c r="J4" i="15"/>
  <c r="L4" i="15"/>
  <c r="AD30" i="26" l="1"/>
  <c r="AC30" i="26"/>
  <c r="AB30" i="26"/>
  <c r="O30" i="26"/>
  <c r="I30" i="26"/>
  <c r="AD29" i="26"/>
  <c r="AC29" i="26"/>
  <c r="AB29" i="26"/>
  <c r="O29" i="26"/>
  <c r="I29" i="26"/>
  <c r="AD28" i="26"/>
  <c r="AC28" i="26"/>
  <c r="AB28" i="26"/>
  <c r="O28" i="26"/>
  <c r="I28" i="26"/>
  <c r="AD27" i="26"/>
  <c r="AC27" i="26"/>
  <c r="AB27" i="26"/>
  <c r="O27" i="26"/>
  <c r="I27" i="26"/>
  <c r="AD26" i="26"/>
  <c r="AC26" i="26"/>
  <c r="AB26" i="26"/>
  <c r="O26" i="26"/>
  <c r="I26" i="26"/>
  <c r="AD25" i="26"/>
  <c r="AC25" i="26"/>
  <c r="AB25" i="26"/>
  <c r="O25" i="26"/>
  <c r="I25" i="26"/>
  <c r="AD24" i="26"/>
  <c r="AC24" i="26"/>
  <c r="AB24" i="26"/>
  <c r="O24" i="26"/>
  <c r="I24" i="26"/>
  <c r="AD23" i="26"/>
  <c r="AC23" i="26"/>
  <c r="AB23" i="26"/>
  <c r="O23" i="26"/>
  <c r="I23" i="26"/>
  <c r="AD22" i="26"/>
  <c r="AC22" i="26"/>
  <c r="AB22" i="26"/>
  <c r="O22" i="26"/>
  <c r="I22" i="26"/>
  <c r="AD21" i="26"/>
  <c r="AC21" i="26"/>
  <c r="AB21" i="26"/>
  <c r="O21" i="26"/>
  <c r="I21" i="26"/>
  <c r="AD20" i="26"/>
  <c r="AC20" i="26"/>
  <c r="AB20" i="26"/>
  <c r="O20" i="26"/>
  <c r="I20" i="26"/>
  <c r="AD19" i="26"/>
  <c r="AC19" i="26"/>
  <c r="AB19" i="26"/>
  <c r="O19" i="26"/>
  <c r="I19" i="26"/>
  <c r="AD18" i="26"/>
  <c r="AC18" i="26"/>
  <c r="AB18" i="26"/>
  <c r="O18" i="26"/>
  <c r="I18" i="26"/>
  <c r="AD17" i="26"/>
  <c r="AC17" i="26"/>
  <c r="AB17" i="26"/>
  <c r="O17" i="26"/>
  <c r="I17" i="26"/>
  <c r="AD16" i="26"/>
  <c r="AC16" i="26"/>
  <c r="AB16" i="26"/>
  <c r="O16" i="26"/>
  <c r="I16" i="26"/>
  <c r="AD15" i="26"/>
  <c r="AC15" i="26"/>
  <c r="AB15" i="26"/>
  <c r="O15" i="26"/>
  <c r="I15" i="26"/>
  <c r="AD14" i="26"/>
  <c r="AC14" i="26"/>
  <c r="AB14" i="26"/>
  <c r="O14" i="26"/>
  <c r="I14" i="26"/>
  <c r="AD13" i="26"/>
  <c r="AC13" i="26"/>
  <c r="AB13" i="26"/>
  <c r="O13" i="26"/>
  <c r="I13" i="26"/>
  <c r="AD12" i="26"/>
  <c r="AC12" i="26"/>
  <c r="AB12" i="26"/>
  <c r="O12" i="26"/>
  <c r="I12" i="26"/>
  <c r="AD11" i="26"/>
  <c r="AC11" i="26"/>
  <c r="AB11" i="26"/>
  <c r="O11" i="26"/>
  <c r="I11" i="26"/>
  <c r="J10" i="11" l="1"/>
  <c r="I10" i="11"/>
  <c r="J11" i="11"/>
  <c r="I11" i="11"/>
  <c r="J12" i="11"/>
  <c r="I12" i="11"/>
  <c r="M5" i="15"/>
  <c r="M8" i="15"/>
  <c r="M7" i="15"/>
  <c r="M6" i="15"/>
  <c r="I8" i="11"/>
  <c r="J8" i="11"/>
  <c r="I7" i="11"/>
  <c r="J7" i="11"/>
  <c r="N12" i="7"/>
  <c r="K1" i="7"/>
  <c r="B34" i="7" l="1"/>
  <c r="B33" i="7"/>
  <c r="H4" i="7"/>
  <c r="B2" i="7"/>
  <c r="B12" i="7"/>
  <c r="G16" i="7" s="1"/>
  <c r="D4" i="7"/>
  <c r="B7" i="14" s="1"/>
  <c r="C4" i="7"/>
  <c r="J1" i="26"/>
  <c r="C16" i="7"/>
  <c r="E4" i="7"/>
  <c r="K1" i="24"/>
  <c r="C5" i="24" s="1"/>
  <c r="B13" i="7"/>
  <c r="B13" i="11" s="1"/>
  <c r="J1" i="6"/>
  <c r="M1" i="15"/>
  <c r="C5" i="15" s="1"/>
  <c r="R1" i="14"/>
  <c r="B2" i="14" s="1"/>
  <c r="B4" i="7"/>
  <c r="B11" i="7"/>
  <c r="B14" i="7"/>
  <c r="O1" i="11"/>
  <c r="L1" i="7"/>
  <c r="K4" i="7"/>
  <c r="B2" i="11" l="1"/>
  <c r="B34" i="11"/>
  <c r="G5" i="11"/>
  <c r="C14" i="26"/>
  <c r="A33" i="26"/>
  <c r="A35" i="26"/>
  <c r="P4" i="26"/>
  <c r="AB6" i="26"/>
  <c r="J7" i="26"/>
  <c r="D25" i="26"/>
  <c r="C25" i="26"/>
  <c r="J6" i="26"/>
  <c r="AI7" i="26"/>
  <c r="K1" i="26"/>
  <c r="AD7" i="26"/>
  <c r="D29" i="26"/>
  <c r="E4" i="26"/>
  <c r="AJ7" i="26"/>
  <c r="D11" i="26"/>
  <c r="AC7" i="26"/>
  <c r="D4" i="26"/>
  <c r="U7" i="26"/>
  <c r="P8" i="26"/>
  <c r="B2" i="24"/>
  <c r="E7" i="26"/>
  <c r="T7" i="26"/>
  <c r="A4" i="26"/>
  <c r="Q7" i="26"/>
  <c r="V8" i="26"/>
  <c r="B4" i="26"/>
  <c r="R7" i="26"/>
  <c r="Y8" i="26"/>
  <c r="C4" i="26"/>
  <c r="S7" i="26"/>
  <c r="AB8" i="26"/>
  <c r="G6" i="26"/>
  <c r="E5" i="14" s="1"/>
  <c r="X7" i="26"/>
  <c r="AG6" i="26"/>
  <c r="C16" i="26"/>
  <c r="AI4" i="26"/>
  <c r="D21" i="26"/>
  <c r="C22" i="26"/>
  <c r="E6" i="26"/>
  <c r="K6" i="26" s="1"/>
  <c r="V7" i="26"/>
  <c r="AE4" i="26"/>
  <c r="F6" i="26"/>
  <c r="L6" i="26" s="1"/>
  <c r="W7" i="26"/>
  <c r="AE6" i="26"/>
  <c r="O6" i="26"/>
  <c r="AB7" i="26"/>
  <c r="AH7" i="26"/>
  <c r="C27" i="26"/>
  <c r="C15" i="26"/>
  <c r="H4" i="14" s="1"/>
  <c r="D26" i="26"/>
  <c r="C11" i="26"/>
  <c r="H6" i="26"/>
  <c r="N6" i="26" s="1"/>
  <c r="Y7" i="26"/>
  <c r="AE7" i="26"/>
  <c r="I6" i="26"/>
  <c r="Z7" i="26"/>
  <c r="AF7" i="26"/>
  <c r="J4" i="26"/>
  <c r="AA7" i="26"/>
  <c r="AG7" i="26"/>
  <c r="P7" i="26"/>
  <c r="S8" i="26"/>
  <c r="C12" i="26"/>
  <c r="F4" i="15" s="1"/>
  <c r="D18" i="26"/>
  <c r="C23" i="26"/>
  <c r="P4" i="14" s="1"/>
  <c r="C20" i="26"/>
  <c r="L4" i="14" s="1"/>
  <c r="C28" i="26"/>
  <c r="C26" i="26"/>
  <c r="D15" i="26"/>
  <c r="C29" i="26"/>
  <c r="D23" i="26"/>
  <c r="C30" i="26"/>
  <c r="I2" i="11" s="1"/>
  <c r="C17" i="26"/>
  <c r="D12" i="26"/>
  <c r="D17" i="26"/>
  <c r="D28" i="26"/>
  <c r="D20" i="26"/>
  <c r="C21" i="26"/>
  <c r="D13" i="26"/>
  <c r="D30" i="26"/>
  <c r="C19" i="26"/>
  <c r="D14" i="26"/>
  <c r="C18" i="26"/>
  <c r="D2" i="7" s="1"/>
  <c r="D19" i="26"/>
  <c r="C13" i="26"/>
  <c r="D24" i="26"/>
  <c r="C24" i="26"/>
  <c r="D22" i="26"/>
  <c r="D16" i="26"/>
  <c r="D27" i="26"/>
  <c r="C14" i="6"/>
  <c r="C15" i="6"/>
  <c r="H16" i="24"/>
  <c r="G5" i="24"/>
  <c r="B31" i="24"/>
  <c r="A13" i="15"/>
  <c r="C9" i="15"/>
  <c r="B2" i="15"/>
  <c r="C7" i="15"/>
  <c r="M4" i="15"/>
  <c r="B5" i="15"/>
  <c r="P6" i="26"/>
  <c r="B8" i="24"/>
  <c r="J11" i="6"/>
  <c r="J15" i="6"/>
  <c r="J19" i="6"/>
  <c r="J23" i="6"/>
  <c r="J27" i="6"/>
  <c r="J31" i="6"/>
  <c r="J35" i="6"/>
  <c r="J39" i="6"/>
  <c r="J17" i="6"/>
  <c r="J25" i="6"/>
  <c r="J37" i="6"/>
  <c r="J18" i="6"/>
  <c r="J26" i="6"/>
  <c r="J34" i="6"/>
  <c r="J12" i="6"/>
  <c r="J16" i="6"/>
  <c r="J20" i="6"/>
  <c r="J24" i="6"/>
  <c r="J28" i="6"/>
  <c r="J32" i="6"/>
  <c r="J36" i="6"/>
  <c r="J10" i="6"/>
  <c r="J13" i="6"/>
  <c r="J21" i="6"/>
  <c r="J29" i="6"/>
  <c r="J33" i="6"/>
  <c r="J14" i="6"/>
  <c r="J22" i="6"/>
  <c r="J30" i="6"/>
  <c r="J38" i="6"/>
  <c r="B8" i="11"/>
  <c r="B4" i="24"/>
  <c r="E16" i="24"/>
  <c r="L1" i="24"/>
  <c r="B16" i="24"/>
  <c r="L16" i="24"/>
  <c r="B14" i="24"/>
  <c r="AX6" i="6"/>
  <c r="D16" i="6"/>
  <c r="AV6" i="6"/>
  <c r="AT6" i="6"/>
  <c r="AV4" i="6"/>
  <c r="A44" i="6"/>
  <c r="AZ4" i="6"/>
  <c r="AT4" i="6"/>
  <c r="AT7" i="6"/>
  <c r="AU7" i="6"/>
  <c r="O5" i="11"/>
  <c r="B13" i="24"/>
  <c r="B12" i="14"/>
  <c r="B6" i="14"/>
  <c r="B7" i="11"/>
  <c r="B7" i="24"/>
  <c r="C38" i="6"/>
  <c r="C37" i="6"/>
  <c r="C36" i="6"/>
  <c r="C35" i="6"/>
  <c r="C33" i="6"/>
  <c r="C31" i="6"/>
  <c r="C29" i="6"/>
  <c r="C26" i="6"/>
  <c r="C24" i="6"/>
  <c r="D22" i="6"/>
  <c r="C21" i="6"/>
  <c r="D18" i="6"/>
  <c r="C17" i="6"/>
  <c r="D11" i="6"/>
  <c r="C10" i="6"/>
  <c r="AH8" i="6"/>
  <c r="V8" i="6"/>
  <c r="AY7" i="6"/>
  <c r="AV7" i="6"/>
  <c r="AP7" i="6"/>
  <c r="AL7" i="6"/>
  <c r="AH7" i="6"/>
  <c r="AD7" i="6"/>
  <c r="Z7" i="6"/>
  <c r="V7" i="6"/>
  <c r="R7" i="6"/>
  <c r="B12" i="11" s="1"/>
  <c r="E7" i="6"/>
  <c r="J6" i="6"/>
  <c r="F6" i="6"/>
  <c r="D6" i="11" s="1"/>
  <c r="J4" i="6"/>
  <c r="B4" i="6"/>
  <c r="A41" i="6"/>
  <c r="D38" i="6"/>
  <c r="D34" i="6"/>
  <c r="C32" i="6"/>
  <c r="D29" i="6"/>
  <c r="D28" i="6"/>
  <c r="D26" i="6"/>
  <c r="C23" i="6"/>
  <c r="C20" i="6"/>
  <c r="C16" i="6"/>
  <c r="D14" i="6"/>
  <c r="C11" i="6"/>
  <c r="AK8" i="6"/>
  <c r="S8" i="6"/>
  <c r="AZ7" i="6"/>
  <c r="A43" i="6"/>
  <c r="C39" i="6"/>
  <c r="C34" i="6"/>
  <c r="D33" i="6"/>
  <c r="C27" i="6"/>
  <c r="C22" i="6"/>
  <c r="D10" i="6"/>
  <c r="AN8" i="6"/>
  <c r="P8" i="6"/>
  <c r="E6" i="7" s="1"/>
  <c r="H6" i="7" s="1"/>
  <c r="AW7" i="6"/>
  <c r="AO7" i="6"/>
  <c r="AJ7" i="6"/>
  <c r="AE7" i="6"/>
  <c r="Y7" i="6"/>
  <c r="T7" i="6"/>
  <c r="J7" i="6"/>
  <c r="AQ6" i="6"/>
  <c r="AB6" i="6"/>
  <c r="O6" i="6"/>
  <c r="I6" i="6"/>
  <c r="P4" i="6"/>
  <c r="A4" i="6"/>
  <c r="D36" i="6"/>
  <c r="D31" i="6"/>
  <c r="D30" i="6"/>
  <c r="C25" i="6"/>
  <c r="D21" i="6"/>
  <c r="D20" i="6"/>
  <c r="D19" i="6"/>
  <c r="C13" i="6"/>
  <c r="C12" i="6"/>
  <c r="AB8" i="6"/>
  <c r="BA7" i="6"/>
  <c r="AX7" i="6"/>
  <c r="AR7" i="6"/>
  <c r="AM7" i="6"/>
  <c r="AG7" i="6"/>
  <c r="AB7" i="6"/>
  <c r="W7" i="6"/>
  <c r="Q7" i="6"/>
  <c r="B11" i="11" s="1"/>
  <c r="G6" i="6"/>
  <c r="E6" i="11" s="1"/>
  <c r="D4" i="6"/>
  <c r="K1" i="6"/>
  <c r="D35" i="6"/>
  <c r="C19" i="6"/>
  <c r="D17" i="6"/>
  <c r="D15" i="6"/>
  <c r="AE8" i="6"/>
  <c r="AN7" i="6"/>
  <c r="AC7" i="6"/>
  <c r="S7" i="6"/>
  <c r="B2" i="6"/>
  <c r="A42" i="6"/>
  <c r="C28" i="6"/>
  <c r="D27" i="6"/>
  <c r="D13" i="6"/>
  <c r="Y8" i="6"/>
  <c r="AK7" i="6"/>
  <c r="AA7" i="6"/>
  <c r="P7" i="6"/>
  <c r="B10" i="11" s="1"/>
  <c r="AE4" i="6"/>
  <c r="D39" i="6"/>
  <c r="C30" i="6"/>
  <c r="D25" i="6"/>
  <c r="C18" i="6"/>
  <c r="D12" i="6"/>
  <c r="AS7" i="6"/>
  <c r="AI7" i="6"/>
  <c r="X7" i="6"/>
  <c r="H6" i="6"/>
  <c r="F6" i="11" s="1"/>
  <c r="E4" i="6"/>
  <c r="D37" i="6"/>
  <c r="D24" i="6"/>
  <c r="C4" i="6"/>
  <c r="AQ7" i="6"/>
  <c r="AQ8" i="6"/>
  <c r="D32" i="6"/>
  <c r="AF7" i="6"/>
  <c r="E6" i="6"/>
  <c r="C6" i="11" s="1"/>
  <c r="D23" i="6"/>
  <c r="U7" i="6"/>
  <c r="C16" i="11"/>
  <c r="B9" i="11"/>
  <c r="B14" i="11"/>
  <c r="P1" i="11"/>
  <c r="B5" i="11"/>
  <c r="C9" i="11"/>
  <c r="C15" i="14"/>
  <c r="B13" i="14"/>
  <c r="G15" i="14"/>
  <c r="B4" i="14"/>
  <c r="S1" i="14"/>
  <c r="D10" i="15"/>
  <c r="D8" i="15"/>
  <c r="D6" i="15"/>
  <c r="D9" i="15"/>
  <c r="D7" i="15"/>
  <c r="D5" i="15"/>
  <c r="N1" i="15"/>
  <c r="M3" i="15"/>
  <c r="Y6" i="26" l="1"/>
  <c r="C5" i="14"/>
  <c r="S6" i="26"/>
  <c r="F5" i="14"/>
  <c r="D5" i="14"/>
  <c r="E5" i="15"/>
  <c r="I5" i="15"/>
  <c r="K7" i="15"/>
  <c r="G10" i="15"/>
  <c r="K6" i="15"/>
  <c r="K5" i="11"/>
  <c r="K7" i="11" s="1"/>
  <c r="G5" i="15"/>
  <c r="F7" i="11"/>
  <c r="G8" i="15"/>
  <c r="K10" i="15"/>
  <c r="I7" i="15"/>
  <c r="I9" i="15"/>
  <c r="G7" i="15"/>
  <c r="I2" i="24"/>
  <c r="C4" i="24" s="1"/>
  <c r="B15" i="24" s="1"/>
  <c r="K5" i="15"/>
  <c r="I10" i="15"/>
  <c r="I6" i="15"/>
  <c r="K9" i="15"/>
  <c r="K8" i="15"/>
  <c r="G6" i="15"/>
  <c r="D4" i="14"/>
  <c r="I8" i="15"/>
  <c r="M6" i="26"/>
  <c r="V6" i="26" s="1"/>
  <c r="G9" i="15"/>
  <c r="E7" i="11"/>
  <c r="D12" i="11"/>
  <c r="F10" i="11"/>
  <c r="F11" i="11"/>
  <c r="E12" i="11"/>
  <c r="K10" i="7"/>
  <c r="L10" i="7" s="1"/>
  <c r="K9" i="7"/>
  <c r="L9" i="7" s="1"/>
  <c r="D10" i="11"/>
  <c r="D11" i="11"/>
  <c r="E10" i="11"/>
  <c r="E11" i="11"/>
  <c r="F12" i="11"/>
  <c r="E8" i="15"/>
  <c r="E7" i="15"/>
  <c r="E10" i="15"/>
  <c r="E6" i="15"/>
  <c r="E9" i="15"/>
  <c r="B12" i="15"/>
  <c r="E13" i="15"/>
  <c r="H13" i="15"/>
  <c r="C13" i="15"/>
  <c r="L13" i="15"/>
  <c r="B8" i="14"/>
  <c r="B9" i="24"/>
  <c r="G5" i="14"/>
  <c r="G7" i="14" s="1"/>
  <c r="K6" i="6"/>
  <c r="C6" i="24"/>
  <c r="G6" i="24" s="1"/>
  <c r="P6" i="6"/>
  <c r="AE6" i="6" s="1"/>
  <c r="B7" i="7"/>
  <c r="D7" i="7" s="1"/>
  <c r="I5" i="14"/>
  <c r="M6" i="6"/>
  <c r="V6" i="6" s="1"/>
  <c r="AK6" i="6" s="1"/>
  <c r="E6" i="24"/>
  <c r="I6" i="24" s="1"/>
  <c r="M6" i="24" s="1"/>
  <c r="B9" i="7"/>
  <c r="S6" i="6"/>
  <c r="AH6" i="6" s="1"/>
  <c r="L6" i="6"/>
  <c r="H5" i="14"/>
  <c r="H7" i="14" s="1"/>
  <c r="D6" i="24"/>
  <c r="H6" i="24" s="1"/>
  <c r="L6" i="24" s="1"/>
  <c r="B8" i="7"/>
  <c r="D8" i="7" s="1"/>
  <c r="B11" i="14"/>
  <c r="G5" i="7"/>
  <c r="J5" i="7" s="1"/>
  <c r="B12" i="24"/>
  <c r="C9" i="24"/>
  <c r="B30" i="24" s="1"/>
  <c r="C8" i="14"/>
  <c r="N6" i="6"/>
  <c r="F6" i="24"/>
  <c r="J6" i="24" s="1"/>
  <c r="N6" i="24" s="1"/>
  <c r="Y6" i="6"/>
  <c r="AN6" i="6" s="1"/>
  <c r="J5" i="14"/>
  <c r="B10" i="7"/>
  <c r="C10" i="7" s="1"/>
  <c r="B10" i="14"/>
  <c r="B11" i="24"/>
  <c r="F5" i="7"/>
  <c r="I5" i="7" s="1"/>
  <c r="B9" i="14"/>
  <c r="B10" i="24"/>
  <c r="E5" i="7"/>
  <c r="H5" i="7" s="1"/>
  <c r="E8" i="11" l="1"/>
  <c r="F6" i="14"/>
  <c r="D9" i="7"/>
  <c r="F7" i="14"/>
  <c r="F8" i="11"/>
  <c r="L10" i="11"/>
  <c r="M10" i="11" s="1"/>
  <c r="D7" i="14"/>
  <c r="E6" i="14"/>
  <c r="C7" i="14"/>
  <c r="D10" i="24"/>
  <c r="G12" i="24"/>
  <c r="F11" i="24"/>
  <c r="E7" i="14"/>
  <c r="D6" i="14"/>
  <c r="B14" i="14"/>
  <c r="C7" i="7"/>
  <c r="C11" i="7" s="1"/>
  <c r="G7" i="24"/>
  <c r="K6" i="24"/>
  <c r="K7" i="24" s="1"/>
  <c r="C6" i="14"/>
  <c r="N11" i="24"/>
  <c r="K12" i="24"/>
  <c r="N10" i="24"/>
  <c r="K11" i="24"/>
  <c r="M12" i="24"/>
  <c r="K10" i="24"/>
  <c r="M11" i="24"/>
  <c r="L7" i="24"/>
  <c r="M10" i="24"/>
  <c r="L12" i="24"/>
  <c r="L11" i="24"/>
  <c r="N12" i="24"/>
  <c r="L10" i="24"/>
  <c r="N8" i="24"/>
  <c r="M7" i="24"/>
  <c r="N7" i="24"/>
  <c r="L8" i="24"/>
  <c r="M8" i="24"/>
  <c r="I7" i="24"/>
  <c r="G9" i="7"/>
  <c r="C9" i="7"/>
  <c r="F12" i="24"/>
  <c r="C10" i="24"/>
  <c r="F7" i="7"/>
  <c r="F11" i="7" s="1"/>
  <c r="J8" i="24"/>
  <c r="D7" i="24"/>
  <c r="H10" i="24"/>
  <c r="G8" i="24"/>
  <c r="G10" i="7"/>
  <c r="G12" i="7" s="1"/>
  <c r="E10" i="24"/>
  <c r="G8" i="7"/>
  <c r="E7" i="7"/>
  <c r="E11" i="7" s="1"/>
  <c r="H8" i="24"/>
  <c r="C8" i="24"/>
  <c r="I8" i="24"/>
  <c r="F9" i="7"/>
  <c r="D11" i="24"/>
  <c r="E9" i="7"/>
  <c r="J6" i="14"/>
  <c r="J7" i="14"/>
  <c r="D8" i="24"/>
  <c r="J7" i="24"/>
  <c r="J12" i="24"/>
  <c r="D12" i="24"/>
  <c r="H11" i="24"/>
  <c r="E11" i="24"/>
  <c r="I10" i="24"/>
  <c r="C11" i="24"/>
  <c r="G10" i="24"/>
  <c r="E10" i="7"/>
  <c r="G7" i="7"/>
  <c r="G11" i="7" s="1"/>
  <c r="D10" i="7"/>
  <c r="E8" i="7"/>
  <c r="I6" i="14"/>
  <c r="I7" i="14"/>
  <c r="E7" i="24"/>
  <c r="F10" i="24"/>
  <c r="E8" i="24"/>
  <c r="H7" i="24"/>
  <c r="H12" i="24"/>
  <c r="E12" i="24"/>
  <c r="I11" i="24"/>
  <c r="C12" i="24"/>
  <c r="G11" i="24"/>
  <c r="C8" i="7"/>
  <c r="J11" i="24"/>
  <c r="R10" i="14"/>
  <c r="K10" i="14"/>
  <c r="N10" i="14"/>
  <c r="H10" i="14"/>
  <c r="L10" i="14"/>
  <c r="P10" i="14"/>
  <c r="J10" i="14"/>
  <c r="I10" i="14"/>
  <c r="M10" i="14"/>
  <c r="O10" i="14"/>
  <c r="G10" i="14"/>
  <c r="Q10" i="14"/>
  <c r="I9" i="14"/>
  <c r="K9" i="14"/>
  <c r="J9" i="14"/>
  <c r="R9" i="14"/>
  <c r="M9" i="14"/>
  <c r="P9" i="14"/>
  <c r="H9" i="14"/>
  <c r="L9" i="14"/>
  <c r="Q9" i="14"/>
  <c r="O9" i="14"/>
  <c r="N9" i="14"/>
  <c r="G9" i="14"/>
  <c r="O11" i="14"/>
  <c r="P11" i="14"/>
  <c r="R11" i="14"/>
  <c r="N11" i="14"/>
  <c r="K11" i="14"/>
  <c r="M11" i="14"/>
  <c r="H11" i="14"/>
  <c r="L11" i="14"/>
  <c r="J11" i="14"/>
  <c r="I11" i="14"/>
  <c r="Q11" i="14"/>
  <c r="G11" i="14"/>
  <c r="C7" i="24"/>
  <c r="F7" i="24"/>
  <c r="J10" i="24"/>
  <c r="F8" i="24"/>
  <c r="I12" i="24"/>
  <c r="F8" i="7"/>
  <c r="F10" i="7"/>
  <c r="L8" i="11"/>
  <c r="M8" i="11" s="1"/>
  <c r="N7" i="11"/>
  <c r="L7" i="11"/>
  <c r="M7" i="11" s="1"/>
  <c r="K11" i="11"/>
  <c r="N11" i="11" s="1"/>
  <c r="K12" i="11"/>
  <c r="N12" i="11" s="1"/>
  <c r="K10" i="11"/>
  <c r="N10" i="11" s="1"/>
  <c r="L12" i="11"/>
  <c r="M12" i="11" s="1"/>
  <c r="L11" i="11"/>
  <c r="M11" i="11" s="1"/>
  <c r="K8" i="11"/>
  <c r="N8" i="11" s="1"/>
  <c r="C11" i="14"/>
  <c r="E11" i="14"/>
  <c r="D11" i="14"/>
  <c r="F11" i="14"/>
  <c r="E9" i="14"/>
  <c r="F9" i="14"/>
  <c r="C9" i="14"/>
  <c r="D9" i="14"/>
  <c r="D10" i="14"/>
  <c r="E10" i="14"/>
  <c r="F10" i="14"/>
  <c r="C10" i="14"/>
  <c r="K5" i="14"/>
  <c r="G6" i="14"/>
  <c r="L5" i="14"/>
  <c r="H6" i="14"/>
  <c r="N5" i="14"/>
  <c r="M5" i="14"/>
  <c r="C11" i="11"/>
  <c r="D8" i="11"/>
  <c r="D7" i="11"/>
  <c r="C10" i="11"/>
  <c r="C8" i="11"/>
  <c r="C7" i="11"/>
  <c r="C12" i="11"/>
  <c r="C5" i="11"/>
  <c r="B32" i="24"/>
  <c r="D11" i="7"/>
  <c r="G6" i="11"/>
  <c r="K6" i="11" s="1"/>
  <c r="J6" i="11"/>
  <c r="N6" i="11" s="1"/>
  <c r="B33" i="24"/>
  <c r="H6" i="11"/>
  <c r="L6" i="11" s="1"/>
  <c r="C12" i="7"/>
  <c r="I6" i="11"/>
  <c r="M6" i="11" s="1"/>
  <c r="K8" i="24" l="1"/>
  <c r="N6" i="14"/>
  <c r="N7" i="14"/>
  <c r="K6" i="14"/>
  <c r="K7" i="14"/>
  <c r="L6" i="14"/>
  <c r="L7" i="14"/>
  <c r="M7" i="14"/>
  <c r="M6" i="14"/>
  <c r="O5" i="14"/>
  <c r="P5" i="14"/>
  <c r="R5" i="14"/>
  <c r="Q5" i="14"/>
  <c r="D12" i="7"/>
  <c r="F12" i="7"/>
  <c r="E12" i="7"/>
  <c r="R7" i="14" l="1"/>
  <c r="R6" i="14"/>
  <c r="P7" i="14"/>
  <c r="P6" i="14"/>
  <c r="Q7" i="14"/>
  <c r="Q6" i="14"/>
  <c r="O6" i="14"/>
  <c r="O7" i="14"/>
</calcChain>
</file>

<file path=xl/sharedStrings.xml><?xml version="1.0" encoding="utf-8"?>
<sst xmlns="http://schemas.openxmlformats.org/spreadsheetml/2006/main" count="35" uniqueCount="11">
  <si>
    <t>( % )</t>
  </si>
  <si>
    <t>ENG</t>
  </si>
  <si>
    <t>UA</t>
  </si>
  <si>
    <t xml:space="preserve">** Відповідно до пункту 21-1 розділу ІІІ Положення № 141 переглянуто необхідні рівні нормативів достатності (адекватності) регулятивного капіталу (Н2) та достатності основного капіталу (H3) для АТ “АЛЬФА-БАНК” з урахуванням ефекту від реорганізації шляхом приєднання АТ “УКРСОЦБАНК” до АТ “АЛЬФА-БАНК”. Так, необхідний рівень нормативу Н2 АТ “АЛЬФА-БАНК” як банку-правонаступника становив 18,0%, нормативу Н3 – 18,0%. З урахуванням вжитих заходів оновлений необхідний рівень нормативів Н2 – 14,8%, Н3 – 14,8% </t>
  </si>
  <si>
    <t>-</t>
  </si>
  <si>
    <t xml:space="preserve">** According to the art.21-1 ch. III of the NBU Regulation No. 141, required capital adequacy levels of Alfa-Bank were revised in view of the reorganization and merger with Ukrsotsbank. Hence, required CAR of Alfa-Bank as the successor bank was 18.0%, core capital  ratio – 18.0%. After measures taken, the required levels are: CAR – 14.8%, core capital ratio – 14.8%. </t>
  </si>
  <si>
    <t>ні</t>
  </si>
  <si>
    <t>так</t>
  </si>
  <si>
    <t>Інформація в таблиці формується відповідно до вимог особливостей здійснення оцінки стійкості банків і банківської системи України в 2023 році</t>
  </si>
  <si>
    <t xml:space="preserve">Результати оцінки стійкості банків і банківської системи України  у 2023 році </t>
  </si>
  <si>
    <t>За несприятливим макроекономічним сценарієм (стрес-тестування 2021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</si>
</sst>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%"/>
    <numFmt numFmtId="165" formatCode="0.0%;\-0.0%;&quot;-&quot;"/>
    <numFmt numFmtId="166" formatCode="0.0"/>
    <numFmt numFmtId="167" formatCode="0.000%"/>
    <numFmt numFmtId="168" formatCode="_-* #,##0\ _₴_-;\-* #,##0\ _₴_-;_-* &quot;-&quot;??\ _₴_-;_-@_-"/>
    <numFmt numFmtId="169" formatCode="_-* #,##0.00\ _₴_-;\-* #,##0.00\ _₴_-;_-* &quot;-&quot;??\ _₴_-;_-@_-"/>
    <numFmt numFmtId="170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5591"/>
      <name val="Arial"/>
      <family val="2"/>
      <charset val="204"/>
    </font>
    <font>
      <b/>
      <sz val="10"/>
      <name val="Arial"/>
      <family val="2"/>
      <charset val="204"/>
    </font>
    <font>
      <sz val="7.5"/>
      <color theme="1"/>
      <name val="Arial"/>
      <family val="2"/>
      <charset val="204"/>
    </font>
    <font>
      <sz val="7.5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i/>
      <sz val="7.5"/>
      <color rgb="FF7D0532"/>
      <name val="Arial"/>
      <family val="2"/>
      <charset val="204"/>
    </font>
    <font>
      <b/>
      <sz val="10"/>
      <color rgb="FF7D0532"/>
      <name val="Arial"/>
      <family val="2"/>
      <charset val="204"/>
    </font>
    <font>
      <sz val="10"/>
      <name val="Arial Narrow"/>
      <family val="2"/>
      <charset val="204"/>
    </font>
    <font>
      <b/>
      <sz val="7.5"/>
      <color rgb="FF7D0532"/>
      <name val="Arial"/>
      <family val="2"/>
      <charset val="204"/>
    </font>
    <font>
      <b/>
      <i/>
      <sz val="10"/>
      <color rgb="FF00559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color theme="1" tint="0.14999847407452621"/>
      <name val="Arial"/>
      <family val="2"/>
      <charset val="204"/>
    </font>
    <font>
      <i/>
      <sz val="10"/>
      <color rgb="FF7D053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DEF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46AFE6"/>
      </bottom>
      <diagonal/>
    </border>
    <border>
      <left style="dotted">
        <color rgb="FF46AFE6"/>
      </left>
      <right style="dotted">
        <color rgb="FF46AFE6"/>
      </right>
      <top style="dotted">
        <color rgb="FF46AFE6"/>
      </top>
      <bottom style="dotted">
        <color rgb="FF46AFE6"/>
      </bottom>
      <diagonal/>
    </border>
    <border>
      <left style="dotted">
        <color rgb="FF46AFE6"/>
      </left>
      <right style="dotted">
        <color rgb="FF46AFE6"/>
      </right>
      <top/>
      <bottom/>
      <diagonal/>
    </border>
    <border>
      <left style="dotted">
        <color rgb="FF46AFE6"/>
      </left>
      <right style="dotted">
        <color rgb="FF46AFE6"/>
      </right>
      <top/>
      <bottom style="dotted">
        <color rgb="FF46AFE6"/>
      </bottom>
      <diagonal/>
    </border>
    <border>
      <left/>
      <right style="dotted">
        <color rgb="FF46AFE6"/>
      </right>
      <top style="dotted">
        <color rgb="FF46AFE6"/>
      </top>
      <bottom/>
      <diagonal/>
    </border>
    <border>
      <left style="dotted">
        <color rgb="FF46AFE6"/>
      </left>
      <right style="dotted">
        <color rgb="FF46AFE6"/>
      </right>
      <top style="dotted">
        <color rgb="FF46AFE6"/>
      </top>
      <bottom/>
      <diagonal/>
    </border>
    <border>
      <left/>
      <right style="dotted">
        <color rgb="FF46AFE6"/>
      </right>
      <top style="dotted">
        <color rgb="FF46AFE6"/>
      </top>
      <bottom style="dotted">
        <color rgb="FF46AFE6"/>
      </bottom>
      <diagonal/>
    </border>
    <border>
      <left/>
      <right style="dotted">
        <color rgb="FF46AFE6"/>
      </right>
      <top/>
      <bottom style="dotted">
        <color rgb="FF46AFE6"/>
      </bottom>
      <diagonal/>
    </border>
    <border>
      <left style="dotted">
        <color rgb="FF46AFE6"/>
      </left>
      <right/>
      <top/>
      <bottom/>
      <diagonal/>
    </border>
    <border>
      <left style="dotted">
        <color rgb="FF46AFE6"/>
      </left>
      <right/>
      <top style="dotted">
        <color rgb="FF46AFE6"/>
      </top>
      <bottom/>
      <diagonal/>
    </border>
    <border>
      <left/>
      <right style="dotted">
        <color rgb="FF46AFE6"/>
      </right>
      <top/>
      <bottom/>
      <diagonal/>
    </border>
    <border>
      <left/>
      <right/>
      <top style="thin">
        <color rgb="FF46AFE6"/>
      </top>
      <bottom/>
      <diagonal/>
    </border>
    <border>
      <left style="dotted">
        <color rgb="FF46AFE6"/>
      </left>
      <right style="dotted">
        <color rgb="FF46AFE6"/>
      </right>
      <top style="thin">
        <color rgb="FF46AFE6"/>
      </top>
      <bottom style="dotted">
        <color rgb="FF46AFE6"/>
      </bottom>
      <diagonal/>
    </border>
    <border>
      <left style="dotted">
        <color rgb="FF46AFE6"/>
      </left>
      <right/>
      <top/>
      <bottom style="dotted">
        <color rgb="FF46AFE6"/>
      </bottom>
      <diagonal/>
    </border>
    <border>
      <left/>
      <right/>
      <top style="dotted">
        <color rgb="FF46AFE6"/>
      </top>
      <bottom style="dotted">
        <color rgb="FF46AFE6"/>
      </bottom>
      <diagonal/>
    </border>
    <border>
      <left style="dotted">
        <color rgb="FF46AFE6"/>
      </left>
      <right/>
      <top style="dotted">
        <color rgb="FF46AFE6"/>
      </top>
      <bottom style="dotted">
        <color rgb="FF46AFE6"/>
      </bottom>
      <diagonal/>
    </border>
    <border>
      <left/>
      <right/>
      <top style="dotted">
        <color rgb="FF46AFE6"/>
      </top>
      <bottom/>
      <diagonal/>
    </border>
    <border>
      <left/>
      <right/>
      <top style="thin">
        <color rgb="FF46AFE6"/>
      </top>
      <bottom style="thin">
        <color rgb="FF46AFE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7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4" fillId="0" borderId="0"/>
    <xf numFmtId="165" fontId="20" fillId="0" borderId="31">
      <alignment horizontal="center" vertical="center"/>
    </xf>
    <xf numFmtId="9" fontId="4" fillId="0" borderId="0" applyFont="0" applyFill="0" applyBorder="0" applyAlignment="0" applyProtection="0"/>
    <xf numFmtId="0" fontId="6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3" fontId="23" fillId="0" borderId="0" applyFill="0" applyBorder="0" applyProtection="0"/>
    <xf numFmtId="0" fontId="1" fillId="0" borderId="0"/>
    <xf numFmtId="43" fontId="5" fillId="0" borderId="0" applyFont="0" applyFill="0" applyBorder="0" applyAlignment="0" applyProtection="0"/>
  </cellStyleXfs>
  <cellXfs count="219">
    <xf numFmtId="0" fontId="0" fillId="0" borderId="0" xfId="0"/>
    <xf numFmtId="0" fontId="10" fillId="2" borderId="0" xfId="0" applyFont="1" applyFill="1"/>
    <xf numFmtId="0" fontId="10" fillId="2" borderId="0" xfId="0" quotePrefix="1" applyFont="1" applyFill="1"/>
    <xf numFmtId="0" fontId="10" fillId="2" borderId="1" xfId="0" applyFont="1" applyFill="1" applyBorder="1"/>
    <xf numFmtId="3" fontId="10" fillId="2" borderId="1" xfId="0" applyNumberFormat="1" applyFont="1" applyFill="1" applyBorder="1"/>
    <xf numFmtId="0" fontId="11" fillId="2" borderId="0" xfId="0" applyFont="1" applyFill="1"/>
    <xf numFmtId="0" fontId="10" fillId="2" borderId="0" xfId="0" applyFont="1" applyFill="1" applyBorder="1"/>
    <xf numFmtId="164" fontId="10" fillId="2" borderId="0" xfId="1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2" borderId="0" xfId="0" applyFont="1" applyFill="1"/>
    <xf numFmtId="0" fontId="10" fillId="2" borderId="13" xfId="0" applyFont="1" applyFill="1" applyBorder="1"/>
    <xf numFmtId="0" fontId="10" fillId="2" borderId="13" xfId="0" applyFont="1" applyFill="1" applyBorder="1" applyAlignment="1">
      <alignment horizontal="right"/>
    </xf>
    <xf numFmtId="164" fontId="10" fillId="2" borderId="14" xfId="1" applyNumberFormat="1" applyFont="1" applyFill="1" applyBorder="1"/>
    <xf numFmtId="164" fontId="10" fillId="2" borderId="16" xfId="1" applyNumberFormat="1" applyFont="1" applyFill="1" applyBorder="1"/>
    <xf numFmtId="3" fontId="10" fillId="2" borderId="14" xfId="0" applyNumberFormat="1" applyFont="1" applyFill="1" applyBorder="1"/>
    <xf numFmtId="164" fontId="10" fillId="2" borderId="21" xfId="1" applyNumberFormat="1" applyFont="1" applyFill="1" applyBorder="1"/>
    <xf numFmtId="0" fontId="10" fillId="2" borderId="22" xfId="0" applyFont="1" applyFill="1" applyBorder="1"/>
    <xf numFmtId="0" fontId="10" fillId="2" borderId="14" xfId="0" applyFont="1" applyFill="1" applyBorder="1"/>
    <xf numFmtId="0" fontId="10" fillId="2" borderId="23" xfId="0" applyFont="1" applyFill="1" applyBorder="1"/>
    <xf numFmtId="0" fontId="10" fillId="2" borderId="21" xfId="0" applyFont="1" applyFill="1" applyBorder="1"/>
    <xf numFmtId="0" fontId="8" fillId="2" borderId="26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3" fontId="10" fillId="2" borderId="21" xfId="0" applyNumberFormat="1" applyFont="1" applyFill="1" applyBorder="1"/>
    <xf numFmtId="3" fontId="10" fillId="2" borderId="0" xfId="0" applyNumberFormat="1" applyFont="1" applyFill="1" applyBorder="1"/>
    <xf numFmtId="0" fontId="11" fillId="2" borderId="0" xfId="0" applyFont="1" applyFill="1" applyAlignment="1">
      <alignment vertical="center" wrapText="1"/>
    </xf>
    <xf numFmtId="0" fontId="11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right" vertical="center"/>
    </xf>
    <xf numFmtId="0" fontId="9" fillId="2" borderId="0" xfId="3" quotePrefix="1" applyFont="1" applyFill="1" applyAlignment="1">
      <alignment wrapText="1"/>
    </xf>
    <xf numFmtId="164" fontId="10" fillId="2" borderId="1" xfId="0" applyNumberFormat="1" applyFont="1" applyFill="1" applyBorder="1"/>
    <xf numFmtId="0" fontId="7" fillId="2" borderId="0" xfId="3" quotePrefix="1" applyFont="1" applyFill="1"/>
    <xf numFmtId="3" fontId="10" fillId="2" borderId="0" xfId="0" applyNumberFormat="1" applyFont="1" applyFill="1"/>
    <xf numFmtId="0" fontId="10" fillId="2" borderId="1" xfId="0" quotePrefix="1" applyFont="1" applyFill="1" applyBorder="1"/>
    <xf numFmtId="0" fontId="10" fillId="2" borderId="29" xfId="0" applyFont="1" applyFill="1" applyBorder="1"/>
    <xf numFmtId="0" fontId="8" fillId="2" borderId="14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1" fillId="0" borderId="0" xfId="0" applyFont="1" applyFill="1"/>
    <xf numFmtId="3" fontId="10" fillId="2" borderId="0" xfId="1" applyNumberFormat="1" applyFont="1" applyFill="1" applyBorder="1"/>
    <xf numFmtId="0" fontId="10" fillId="3" borderId="14" xfId="0" applyFont="1" applyFill="1" applyBorder="1" applyAlignment="1">
      <alignment vertical="center" wrapText="1"/>
    </xf>
    <xf numFmtId="0" fontId="13" fillId="2" borderId="0" xfId="3" quotePrefix="1" applyFont="1" applyFill="1" applyAlignment="1">
      <alignment wrapText="1"/>
    </xf>
    <xf numFmtId="0" fontId="13" fillId="2" borderId="0" xfId="3" quotePrefix="1" applyFont="1" applyFill="1" applyAlignment="1">
      <alignment horizontal="left"/>
    </xf>
    <xf numFmtId="164" fontId="10" fillId="2" borderId="0" xfId="0" applyNumberFormat="1" applyFont="1" applyFill="1"/>
    <xf numFmtId="164" fontId="10" fillId="2" borderId="0" xfId="0" applyNumberFormat="1" applyFont="1" applyFill="1" applyBorder="1"/>
    <xf numFmtId="3" fontId="10" fillId="0" borderId="1" xfId="0" applyNumberFormat="1" applyFont="1" applyFill="1" applyBorder="1"/>
    <xf numFmtId="0" fontId="10" fillId="3" borderId="28" xfId="0" applyFont="1" applyFill="1" applyBorder="1" applyAlignment="1">
      <alignment vertical="center" wrapText="1"/>
    </xf>
    <xf numFmtId="9" fontId="10" fillId="2" borderId="14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/>
    </xf>
    <xf numFmtId="0" fontId="15" fillId="2" borderId="0" xfId="0" applyFont="1" applyFill="1"/>
    <xf numFmtId="9" fontId="10" fillId="2" borderId="16" xfId="0" applyNumberFormat="1" applyFont="1" applyFill="1" applyBorder="1"/>
    <xf numFmtId="3" fontId="10" fillId="2" borderId="16" xfId="0" applyNumberFormat="1" applyFont="1" applyFill="1" applyBorder="1"/>
    <xf numFmtId="0" fontId="17" fillId="2" borderId="0" xfId="0" applyFont="1" applyFill="1" applyBorder="1" applyAlignment="1"/>
    <xf numFmtId="0" fontId="17" fillId="2" borderId="0" xfId="0" applyFont="1" applyFill="1" applyAlignment="1"/>
    <xf numFmtId="0" fontId="18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9" fillId="2" borderId="0" xfId="0" applyFont="1" applyFill="1"/>
    <xf numFmtId="164" fontId="10" fillId="2" borderId="1" xfId="1" applyNumberFormat="1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0" xfId="0" quotePrefix="1" applyFont="1" applyFill="1" applyBorder="1"/>
    <xf numFmtId="0" fontId="10" fillId="2" borderId="1" xfId="0" applyFont="1" applyFill="1" applyBorder="1" applyAlignment="1">
      <alignment horizontal="center" vertical="center"/>
    </xf>
    <xf numFmtId="3" fontId="10" fillId="3" borderId="14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164" fontId="10" fillId="2" borderId="17" xfId="1" applyNumberFormat="1" applyFont="1" applyFill="1" applyBorder="1"/>
    <xf numFmtId="0" fontId="12" fillId="4" borderId="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right" vertical="center"/>
    </xf>
    <xf numFmtId="0" fontId="15" fillId="4" borderId="0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right" vertical="center" wrapText="1"/>
    </xf>
    <xf numFmtId="0" fontId="12" fillId="4" borderId="24" xfId="0" applyFont="1" applyFill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 vertical="center"/>
    </xf>
    <xf numFmtId="0" fontId="22" fillId="4" borderId="24" xfId="0" applyFont="1" applyFill="1" applyBorder="1" applyAlignment="1">
      <alignment horizontal="right" vertical="center" wrapText="1"/>
    </xf>
    <xf numFmtId="0" fontId="22" fillId="4" borderId="13" xfId="0" applyFont="1" applyFill="1" applyBorder="1" applyAlignment="1">
      <alignment horizontal="right" vertical="center" wrapText="1"/>
    </xf>
    <xf numFmtId="0" fontId="21" fillId="2" borderId="0" xfId="0" applyFont="1" applyFill="1" applyAlignment="1">
      <alignment vertical="top" wrapText="1"/>
    </xf>
    <xf numFmtId="0" fontId="8" fillId="2" borderId="1" xfId="0" applyFont="1" applyFill="1" applyBorder="1"/>
    <xf numFmtId="0" fontId="8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right"/>
    </xf>
    <xf numFmtId="1" fontId="10" fillId="3" borderId="14" xfId="1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right"/>
    </xf>
    <xf numFmtId="3" fontId="10" fillId="2" borderId="15" xfId="0" applyNumberFormat="1" applyFont="1" applyFill="1" applyBorder="1" applyAlignment="1">
      <alignment horizontal="right"/>
    </xf>
    <xf numFmtId="3" fontId="10" fillId="3" borderId="19" xfId="0" applyNumberFormat="1" applyFont="1" applyFill="1" applyBorder="1" applyAlignment="1">
      <alignment horizontal="right"/>
    </xf>
    <xf numFmtId="3" fontId="10" fillId="3" borderId="18" xfId="0" applyNumberFormat="1" applyFont="1" applyFill="1" applyBorder="1" applyAlignment="1">
      <alignment horizontal="right"/>
    </xf>
    <xf numFmtId="3" fontId="10" fillId="3" borderId="14" xfId="0" applyNumberFormat="1" applyFont="1" applyFill="1" applyBorder="1" applyAlignment="1">
      <alignment horizontal="right"/>
    </xf>
    <xf numFmtId="164" fontId="10" fillId="2" borderId="14" xfId="1" applyNumberFormat="1" applyFont="1" applyFill="1" applyBorder="1" applyAlignment="1">
      <alignment horizontal="right"/>
    </xf>
    <xf numFmtId="164" fontId="10" fillId="2" borderId="16" xfId="1" applyNumberFormat="1" applyFont="1" applyFill="1" applyBorder="1" applyAlignment="1">
      <alignment horizontal="right"/>
    </xf>
    <xf numFmtId="164" fontId="19" fillId="2" borderId="19" xfId="1" applyNumberFormat="1" applyFont="1" applyFill="1" applyBorder="1" applyAlignment="1">
      <alignment horizontal="right"/>
    </xf>
    <xf numFmtId="164" fontId="10" fillId="3" borderId="20" xfId="1" applyNumberFormat="1" applyFont="1" applyFill="1" applyBorder="1" applyAlignment="1">
      <alignment horizontal="right"/>
    </xf>
    <xf numFmtId="164" fontId="10" fillId="3" borderId="16" xfId="1" applyNumberFormat="1" applyFont="1" applyFill="1" applyBorder="1" applyAlignment="1">
      <alignment horizontal="right"/>
    </xf>
    <xf numFmtId="164" fontId="10" fillId="3" borderId="14" xfId="1" applyNumberFormat="1" applyFont="1" applyFill="1" applyBorder="1" applyAlignment="1">
      <alignment horizontal="right"/>
    </xf>
    <xf numFmtId="164" fontId="19" fillId="3" borderId="14" xfId="1" applyNumberFormat="1" applyFont="1" applyFill="1" applyBorder="1" applyAlignment="1">
      <alignment horizontal="right"/>
    </xf>
    <xf numFmtId="164" fontId="10" fillId="2" borderId="20" xfId="1" applyNumberFormat="1" applyFont="1" applyFill="1" applyBorder="1" applyAlignment="1">
      <alignment horizontal="right"/>
    </xf>
    <xf numFmtId="3" fontId="10" fillId="2" borderId="15" xfId="0" applyNumberFormat="1" applyFont="1" applyFill="1" applyBorder="1" applyAlignment="1">
      <alignment horizontal="center" vertical="center"/>
    </xf>
    <xf numFmtId="164" fontId="10" fillId="2" borderId="20" xfId="1" applyNumberFormat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 wrapText="1"/>
    </xf>
    <xf numFmtId="166" fontId="10" fillId="3" borderId="14" xfId="1" applyNumberFormat="1" applyFont="1" applyFill="1" applyBorder="1" applyAlignment="1">
      <alignment horizontal="right" vertical="center"/>
    </xf>
    <xf numFmtId="164" fontId="8" fillId="3" borderId="14" xfId="1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8" fillId="0" borderId="0" xfId="8" applyFont="1" applyBorder="1"/>
    <xf numFmtId="0" fontId="10" fillId="2" borderId="1" xfId="0" applyFont="1" applyFill="1" applyBorder="1" applyAlignment="1">
      <alignment horizontal="center" vertical="center"/>
    </xf>
    <xf numFmtId="9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3" fontId="10" fillId="2" borderId="0" xfId="16" applyFont="1" applyFill="1"/>
    <xf numFmtId="167" fontId="10" fillId="2" borderId="0" xfId="0" applyNumberFormat="1" applyFont="1" applyFill="1"/>
    <xf numFmtId="166" fontId="10" fillId="2" borderId="0" xfId="0" applyNumberFormat="1" applyFont="1" applyFill="1" applyBorder="1"/>
    <xf numFmtId="164" fontId="10" fillId="0" borderId="1" xfId="1" applyNumberFormat="1" applyFont="1" applyFill="1" applyBorder="1"/>
    <xf numFmtId="164" fontId="1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8" fillId="0" borderId="1" xfId="8" applyFont="1" applyBorder="1"/>
    <xf numFmtId="0" fontId="24" fillId="2" borderId="0" xfId="0" applyFont="1" applyFill="1"/>
    <xf numFmtId="0" fontId="24" fillId="2" borderId="0" xfId="0" applyFont="1" applyFill="1" applyBorder="1" applyAlignment="1"/>
    <xf numFmtId="0" fontId="25" fillId="2" borderId="0" xfId="0" applyFont="1" applyFill="1"/>
    <xf numFmtId="0" fontId="12" fillId="4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/>
    <xf numFmtId="0" fontId="26" fillId="2" borderId="0" xfId="0" applyFont="1" applyFill="1"/>
    <xf numFmtId="0" fontId="11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168" fontId="10" fillId="0" borderId="1" xfId="0" applyNumberFormat="1" applyFont="1" applyBorder="1"/>
    <xf numFmtId="10" fontId="10" fillId="0" borderId="1" xfId="1" applyNumberFormat="1" applyFont="1" applyBorder="1"/>
    <xf numFmtId="164" fontId="10" fillId="0" borderId="1" xfId="1" applyNumberFormat="1" applyFont="1" applyBorder="1"/>
    <xf numFmtId="9" fontId="10" fillId="0" borderId="1" xfId="1" applyFont="1" applyFill="1" applyBorder="1"/>
    <xf numFmtId="169" fontId="10" fillId="0" borderId="0" xfId="0" applyNumberFormat="1" applyFont="1" applyFill="1"/>
    <xf numFmtId="10" fontId="10" fillId="0" borderId="1" xfId="1" applyNumberFormat="1" applyFont="1" applyFill="1" applyBorder="1"/>
    <xf numFmtId="9" fontId="10" fillId="0" borderId="1" xfId="1" applyFont="1" applyBorder="1"/>
    <xf numFmtId="170" fontId="10" fillId="0" borderId="0" xfId="16" applyNumberFormat="1" applyFont="1" applyFill="1"/>
    <xf numFmtId="164" fontId="10" fillId="0" borderId="0" xfId="1" applyNumberFormat="1" applyFont="1" applyFill="1"/>
    <xf numFmtId="169" fontId="10" fillId="0" borderId="0" xfId="0" applyNumberFormat="1" applyFont="1"/>
    <xf numFmtId="164" fontId="10" fillId="0" borderId="0" xfId="1" applyNumberFormat="1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/>
    <xf numFmtId="168" fontId="10" fillId="0" borderId="0" xfId="0" applyNumberFormat="1" applyFont="1" applyBorder="1"/>
    <xf numFmtId="10" fontId="10" fillId="0" borderId="0" xfId="1" applyNumberFormat="1" applyFont="1" applyBorder="1"/>
    <xf numFmtId="0" fontId="10" fillId="0" borderId="0" xfId="0" applyFont="1" applyBorder="1" applyAlignment="1">
      <alignment horizontal="center" vertical="center"/>
    </xf>
    <xf numFmtId="164" fontId="10" fillId="0" borderId="0" xfId="1" applyNumberFormat="1" applyFont="1" applyBorder="1"/>
    <xf numFmtId="9" fontId="10" fillId="0" borderId="0" xfId="1" applyFont="1" applyBorder="1"/>
    <xf numFmtId="164" fontId="11" fillId="2" borderId="0" xfId="0" applyNumberFormat="1" applyFont="1" applyFill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wrapText="1"/>
    </xf>
    <xf numFmtId="0" fontId="12" fillId="4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top" wrapText="1"/>
    </xf>
    <xf numFmtId="0" fontId="12" fillId="4" borderId="24" xfId="0" applyFont="1" applyFill="1" applyBorder="1" applyAlignment="1">
      <alignment horizontal="center" vertical="center"/>
    </xf>
    <xf numFmtId="164" fontId="10" fillId="2" borderId="27" xfId="1" applyNumberFormat="1" applyFont="1" applyFill="1" applyBorder="1" applyAlignment="1">
      <alignment horizontal="right"/>
    </xf>
    <xf numFmtId="164" fontId="10" fillId="2" borderId="19" xfId="1" applyNumberFormat="1" applyFont="1" applyFill="1" applyBorder="1" applyAlignment="1">
      <alignment horizontal="right"/>
    </xf>
    <xf numFmtId="0" fontId="22" fillId="4" borderId="24" xfId="0" applyFont="1" applyFill="1" applyBorder="1" applyAlignment="1">
      <alignment horizontal="center" wrapText="1"/>
    </xf>
    <xf numFmtId="0" fontId="22" fillId="4" borderId="13" xfId="0" applyFont="1" applyFill="1" applyBorder="1" applyAlignment="1">
      <alignment horizontal="center" wrapText="1"/>
    </xf>
    <xf numFmtId="0" fontId="12" fillId="4" borderId="24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6" fillId="0" borderId="3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textRotation="90"/>
    </xf>
    <xf numFmtId="0" fontId="6" fillId="0" borderId="32" xfId="4" applyFont="1" applyFill="1" applyBorder="1" applyAlignment="1">
      <alignment horizontal="center" vertical="center" textRotation="90"/>
    </xf>
    <xf numFmtId="0" fontId="6" fillId="0" borderId="3" xfId="4" applyFont="1" applyFill="1" applyBorder="1" applyAlignment="1">
      <alignment horizontal="center" vertical="center" textRotation="90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17">
    <cellStyle name="_budget2003_r" xfId="14"/>
    <cellStyle name="Calc. %" xfId="6"/>
    <cellStyle name="Відсотковий" xfId="1" builtinId="5"/>
    <cellStyle name="Відсотковий 2" xfId="7"/>
    <cellStyle name="Відсотковий 2 2" xfId="10"/>
    <cellStyle name="Відсотковий 3" xfId="13"/>
    <cellStyle name="Гиперссылка 2" xfId="3"/>
    <cellStyle name="Звичайний" xfId="0" builtinId="0"/>
    <cellStyle name="Звичайний 2" xfId="4"/>
    <cellStyle name="Звичайний 3" xfId="2"/>
    <cellStyle name="Звичайний 4" xfId="5"/>
    <cellStyle name="Звичайний 4 2" xfId="9"/>
    <cellStyle name="Звичайний 4 3" xfId="15"/>
    <cellStyle name="Звичайний 5" xfId="11"/>
    <cellStyle name="Обычный 3 3 3" xfId="12"/>
    <cellStyle name="Обычный 3 6" xfId="8"/>
    <cellStyle name="Фінансовий" xfId="16" builtinId="3"/>
  </cellStyles>
  <dxfs count="36"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theme="6"/>
      </font>
    </dxf>
    <dxf>
      <font>
        <b/>
        <i val="0"/>
        <color rgb="FF057D46"/>
      </font>
    </dxf>
    <dxf>
      <font>
        <b/>
        <i val="0"/>
        <color rgb="FF057D46"/>
      </font>
    </dxf>
    <dxf>
      <fill>
        <patternFill>
          <bgColor rgb="FF8C969B"/>
        </patternFill>
      </fill>
    </dxf>
    <dxf>
      <font>
        <color rgb="FF057D46"/>
      </font>
    </dxf>
    <dxf>
      <font>
        <color rgb="FF057D46"/>
      </font>
    </dxf>
  </dxfs>
  <tableStyles count="0" defaultTableStyle="TableStyleMedium2" defaultPivotStyle="PivotStyleLight16"/>
  <colors>
    <mruColors>
      <color rgb="FF91C864"/>
      <color rgb="FF7D0532"/>
      <color rgb="FF057D46"/>
      <color rgb="FFDC4B64"/>
      <color rgb="FFE5A9B4"/>
      <color rgb="FF46AFE6"/>
      <color rgb="FF005591"/>
      <color rgb="FF000000"/>
      <color rgb="FFC84B64"/>
      <color rgb="FFB5D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8398692810458"/>
          <c:y val="4.4799018103712798E-2"/>
          <c:w val="0.85679914232389698"/>
          <c:h val="0.60514224948579765"/>
        </c:manualLayout>
      </c:layout>
      <c:lineChart>
        <c:grouping val="standard"/>
        <c:varyColors val="0"/>
        <c:ser>
          <c:idx val="0"/>
          <c:order val="0"/>
          <c:tx>
            <c:strRef>
              <c:f>'Individual banks'!$E$4:$G$4</c:f>
              <c:strCache>
                <c:ptCount val="3"/>
                <c:pt idx="0">
                  <c:v>За базовим макроекономічним сценарієм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 cmpd="sng">
                <a:solidFill>
                  <a:schemeClr val="accen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0D-45D8-ABBA-7D3E30B009F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('Individual banks'!$C$4:$C$6,'Individual banks'!$D$4,'Individual banks'!$E$5:$G$5)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'Individual banks'!$C$10:$G$10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2-4BCF-9CB7-276D11C9E857}"/>
            </c:ext>
          </c:extLst>
        </c:ser>
        <c:ser>
          <c:idx val="2"/>
          <c:order val="1"/>
          <c:tx>
            <c:strRef>
              <c:f>'Individual banks'!$B$33</c:f>
              <c:strCache>
                <c:ptCount val="1"/>
                <c:pt idx="0">
                  <c:v>Граничне значення Н3 на нормативному рівні</c:v>
                </c:pt>
              </c:strCache>
            </c:strRef>
          </c:tx>
          <c:spPr>
            <a:ln w="25400">
              <a:solidFill>
                <a:srgbClr val="7D0532"/>
              </a:solidFill>
              <a:prstDash val="sysDash"/>
            </a:ln>
          </c:spPr>
          <c:marker>
            <c:symbol val="none"/>
          </c:marker>
          <c:cat>
            <c:strRef>
              <c:f>('Individual banks'!$C$4:$C$6,'Individual banks'!$D$4,'Individual banks'!$E$5:$G$5)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'Individual banks'!$C$11:$G$11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32-4BCF-9CB7-276D11C9E857}"/>
            </c:ext>
          </c:extLst>
        </c:ser>
        <c:ser>
          <c:idx val="3"/>
          <c:order val="2"/>
          <c:tx>
            <c:strRef>
              <c:f>'Individual banks'!$B$34</c:f>
              <c:strCache>
                <c:ptCount val="1"/>
                <c:pt idx="0">
                  <c:v>Граничне значення Н3 за несприятливого сценарію</c:v>
                </c:pt>
              </c:strCache>
            </c:strRef>
          </c:tx>
          <c:marker>
            <c:symbol val="none"/>
          </c:marker>
          <c:cat>
            <c:strRef>
              <c:f>('Individual banks'!$C$4:$C$6,'Individual banks'!$D$4,'Individual banks'!$E$5:$G$5)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('Individual banks'!$H$11:$I$11,'Individual banks'!$H$11:$J$11)</c:f>
            </c:numRef>
          </c:val>
          <c:smooth val="0"/>
          <c:extLst>
            <c:ext xmlns:c16="http://schemas.microsoft.com/office/drawing/2014/chart" uri="{C3380CC4-5D6E-409C-BE32-E72D297353CC}">
              <c16:uniqueId val="{00000006-AC32-4BCF-9CB7-276D11C9E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858910244687333"/>
          <c:w val="0.97916666666666663"/>
          <c:h val="0.181410897553126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986102271424"/>
          <c:y val="5.3183177809024672E-2"/>
          <c:w val="0.84383673038197882"/>
          <c:h val="0.55099777254269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rgbClr val="C84B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7A42-4C91-A0D8-CFC90F3CE654}"/>
              </c:ext>
            </c:extLst>
          </c:dPt>
          <c:dPt>
            <c:idx val="1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7A42-4C91-A0D8-CFC90F3CE654}"/>
              </c:ext>
            </c:extLst>
          </c:dPt>
          <c:dPt>
            <c:idx val="2"/>
            <c:invertIfNegative val="0"/>
            <c:bubble3D val="0"/>
            <c:spPr>
              <a:solidFill>
                <a:srgbClr val="46AFE6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7A42-4C91-A0D8-CFC90F3CE654}"/>
              </c:ext>
            </c:extLst>
          </c:dPt>
          <c:dPt>
            <c:idx val="3"/>
            <c:invertIfNegative val="0"/>
            <c:bubble3D val="0"/>
            <c:spPr>
              <a:solidFill>
                <a:srgbClr val="005591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2-7A42-4C91-A0D8-CFC90F3CE654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2-7A42-4C91-A0D8-CFC90F3CE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'Capital need'!$C$5:$D$10</c:f>
              <c:multiLvlStrCache>
                <c:ptCount val="6"/>
                <c:lvl>
                  <c:pt idx="0">
                    <c:v>Н2</c:v>
                  </c:pt>
                  <c:pt idx="1">
                    <c:v>Н3</c:v>
                  </c:pt>
                  <c:pt idx="2">
                    <c:v>Н2</c:v>
                  </c:pt>
                  <c:pt idx="3">
                    <c:v>Н3</c:v>
                  </c:pt>
                  <c:pt idx="4">
                    <c:v>Н2</c:v>
                  </c:pt>
                  <c:pt idx="5">
                    <c:v>Н3</c:v>
                  </c:pt>
                </c:lvl>
                <c:lvl>
                  <c:pt idx="0">
                    <c:v>із урахуванням граничних рівнів нормативів, встановлених на рівні 0%</c:v>
                  </c:pt>
                  <c:pt idx="2">
                    <c:v>із урахуванням граничних рівнів нормативів, встановлених на нормативному рівні</c:v>
                  </c:pt>
                  <c:pt idx="4">
                    <c:v>Фактичний рівень нормативів на 01.12.2023 р.</c:v>
                  </c:pt>
                </c:lvl>
              </c:multiLvlStrCache>
            </c:multiLvlStrRef>
          </c:cat>
          <c:val>
            <c:numRef>
              <c:f>'Capital need'!$E$5:$E$10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42-4C91-A0D8-CFC90F3C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986102271424"/>
          <c:y val="5.3183177809024672E-2"/>
          <c:w val="0.84383673038197882"/>
          <c:h val="0.55931923419694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84B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26-4235-8D5E-6BB95FB5DB61}"/>
              </c:ext>
            </c:extLst>
          </c:dPt>
          <c:dPt>
            <c:idx val="1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26-4235-8D5E-6BB95FB5DB61}"/>
              </c:ext>
            </c:extLst>
          </c:dPt>
          <c:dPt>
            <c:idx val="2"/>
            <c:invertIfNegative val="0"/>
            <c:bubble3D val="0"/>
            <c:spPr>
              <a:solidFill>
                <a:srgbClr val="46AF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26-4235-8D5E-6BB95FB5DB61}"/>
              </c:ext>
            </c:extLst>
          </c:dPt>
          <c:dPt>
            <c:idx val="3"/>
            <c:invertIfNegative val="0"/>
            <c:bubble3D val="0"/>
            <c:spPr>
              <a:solidFill>
                <a:srgbClr val="0055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26-4235-8D5E-6BB95FB5DB61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26-4235-8D5E-6BB95FB5D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'Capital need'!$C$5:$D$10</c:f>
              <c:multiLvlStrCache>
                <c:ptCount val="6"/>
                <c:lvl>
                  <c:pt idx="0">
                    <c:v>Н2</c:v>
                  </c:pt>
                  <c:pt idx="1">
                    <c:v>Н3</c:v>
                  </c:pt>
                  <c:pt idx="2">
                    <c:v>Н2</c:v>
                  </c:pt>
                  <c:pt idx="3">
                    <c:v>Н3</c:v>
                  </c:pt>
                  <c:pt idx="4">
                    <c:v>Н2</c:v>
                  </c:pt>
                  <c:pt idx="5">
                    <c:v>Н3</c:v>
                  </c:pt>
                </c:lvl>
                <c:lvl>
                  <c:pt idx="0">
                    <c:v>із урахуванням граничних рівнів нормативів, встановлених на рівні 0%</c:v>
                  </c:pt>
                  <c:pt idx="2">
                    <c:v>із урахуванням граничних рівнів нормативів, встановлених на нормативному рівні</c:v>
                  </c:pt>
                  <c:pt idx="4">
                    <c:v>Фактичний рівень нормативів на 01.12.2023 р.</c:v>
                  </c:pt>
                </c:lvl>
              </c:multiLvlStrCache>
            </c:multiLvlStrRef>
          </c:cat>
          <c:val>
            <c:numRef>
              <c:f>'Capital need'!$G$5:$G$10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26-4235-8D5E-6BB95FB5DB6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986102271424"/>
          <c:y val="5.3183177809024672E-2"/>
          <c:w val="0.84383673038197882"/>
          <c:h val="0.551923525924052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84B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C2-4FD9-922F-B328677C1271}"/>
              </c:ext>
            </c:extLst>
          </c:dPt>
          <c:dPt>
            <c:idx val="1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C2-4FD9-922F-B328677C1271}"/>
              </c:ext>
            </c:extLst>
          </c:dPt>
          <c:dPt>
            <c:idx val="2"/>
            <c:invertIfNegative val="0"/>
            <c:bubble3D val="0"/>
            <c:spPr>
              <a:solidFill>
                <a:srgbClr val="46AF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C2-4FD9-922F-B328677C1271}"/>
              </c:ext>
            </c:extLst>
          </c:dPt>
          <c:dPt>
            <c:idx val="3"/>
            <c:invertIfNegative val="0"/>
            <c:bubble3D val="0"/>
            <c:spPr>
              <a:solidFill>
                <a:srgbClr val="0055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C2-4FD9-922F-B328677C1271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C2-4FD9-922F-B328677C12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'Capital need'!$C$5:$D$10</c:f>
              <c:multiLvlStrCache>
                <c:ptCount val="6"/>
                <c:lvl>
                  <c:pt idx="0">
                    <c:v>Н2</c:v>
                  </c:pt>
                  <c:pt idx="1">
                    <c:v>Н3</c:v>
                  </c:pt>
                  <c:pt idx="2">
                    <c:v>Н2</c:v>
                  </c:pt>
                  <c:pt idx="3">
                    <c:v>Н3</c:v>
                  </c:pt>
                  <c:pt idx="4">
                    <c:v>Н2</c:v>
                  </c:pt>
                  <c:pt idx="5">
                    <c:v>Н3</c:v>
                  </c:pt>
                </c:lvl>
                <c:lvl>
                  <c:pt idx="0">
                    <c:v>із урахуванням граничних рівнів нормативів, встановлених на рівні 0%</c:v>
                  </c:pt>
                  <c:pt idx="2">
                    <c:v>із урахуванням граничних рівнів нормативів, встановлених на нормативному рівні</c:v>
                  </c:pt>
                  <c:pt idx="4">
                    <c:v>Фактичний рівень нормативів на 01.12.2023 р.</c:v>
                  </c:pt>
                </c:lvl>
              </c:multiLvlStrCache>
            </c:multiLvlStrRef>
          </c:cat>
          <c:val>
            <c:numRef>
              <c:f>'Capital need'!$I$5:$I$10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C2-4FD9-922F-B328677C127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986102271424"/>
          <c:y val="5.3183177809024672E-2"/>
          <c:w val="0.84383673038197882"/>
          <c:h val="0.553459213938093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84B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3F-4FBE-8FC1-88CC6E91053C}"/>
              </c:ext>
            </c:extLst>
          </c:dPt>
          <c:dPt>
            <c:idx val="1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33F-4FBE-8FC1-88CC6E91053C}"/>
              </c:ext>
            </c:extLst>
          </c:dPt>
          <c:dPt>
            <c:idx val="2"/>
            <c:invertIfNegative val="0"/>
            <c:bubble3D val="0"/>
            <c:spPr>
              <a:solidFill>
                <a:srgbClr val="46AF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3F-4FBE-8FC1-88CC6E91053C}"/>
              </c:ext>
            </c:extLst>
          </c:dPt>
          <c:dPt>
            <c:idx val="3"/>
            <c:invertIfNegative val="0"/>
            <c:bubble3D val="0"/>
            <c:spPr>
              <a:solidFill>
                <a:srgbClr val="0055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33F-4FBE-8FC1-88CC6E91053C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3F-4FBE-8FC1-88CC6E910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'Capital need'!$C$5:$D$10</c:f>
              <c:multiLvlStrCache>
                <c:ptCount val="6"/>
                <c:lvl>
                  <c:pt idx="0">
                    <c:v>Н2</c:v>
                  </c:pt>
                  <c:pt idx="1">
                    <c:v>Н3</c:v>
                  </c:pt>
                  <c:pt idx="2">
                    <c:v>Н2</c:v>
                  </c:pt>
                  <c:pt idx="3">
                    <c:v>Н3</c:v>
                  </c:pt>
                  <c:pt idx="4">
                    <c:v>Н2</c:v>
                  </c:pt>
                  <c:pt idx="5">
                    <c:v>Н3</c:v>
                  </c:pt>
                </c:lvl>
                <c:lvl>
                  <c:pt idx="0">
                    <c:v>із урахуванням граничних рівнів нормативів, встановлених на рівні 0%</c:v>
                  </c:pt>
                  <c:pt idx="2">
                    <c:v>із урахуванням граничних рівнів нормативів, встановлених на нормативному рівні</c:v>
                  </c:pt>
                  <c:pt idx="4">
                    <c:v>Фактичний рівень нормативів на 01.12.2023 р.</c:v>
                  </c:pt>
                </c:lvl>
              </c:multiLvlStrCache>
            </c:multiLvlStrRef>
          </c:cat>
          <c:val>
            <c:numRef>
              <c:f>'Capital need'!$K$5:$K$10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F-4FBE-8FC1-88CC6E91053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xMode val="edge"/>
          <c:yMode val="edge"/>
          <c:x val="0"/>
          <c:y val="2.6022403855413788E-2"/>
          <c:w val="0.96850707339752518"/>
          <c:h val="0.85873932722865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'Individual banks'!$E$4:$G$4</c:f>
              <c:strCache>
                <c:ptCount val="3"/>
                <c:pt idx="0">
                  <c:v>За базовим макроекономічним сценарієм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('Individual banks'!$D$4:$D$6,'Individual banks'!$E$5,'Individual banks'!$F$5,'Individual banks'!$G$5)</c:f>
              <c:strCache>
                <c:ptCount val="4"/>
                <c:pt idx="0">
                  <c:v>AQR на 01.04.23</c:v>
                </c:pt>
                <c:pt idx="1">
                  <c:v>1-й</c:v>
                </c:pt>
                <c:pt idx="2">
                  <c:v>2-й</c:v>
                </c:pt>
                <c:pt idx="3">
                  <c:v>3-й</c:v>
                </c:pt>
              </c:strCache>
            </c:strRef>
          </c:cat>
          <c:val>
            <c:numRef>
              <c:f>'Individual banks'!$D$12:$G$12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C6-4113-8AEC-8BD53B9DB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3.3253461747554509E-2"/>
          <c:y val="0.88476173108406875"/>
          <c:w val="0.93109692893152629"/>
          <c:h val="9.1078413493948254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937908496732"/>
          <c:y val="4.0509167753591722E-2"/>
          <c:w val="0.8234562091503268"/>
          <c:h val="0.52516936667943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with 2021'!$B$30</c:f>
              <c:strCache>
                <c:ptCount val="1"/>
                <c:pt idx="0">
                  <c:v>За базовим макроекономічним сценарієм (оцінка стійкості 2023 року)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2021'!$C$7:$C$8,'Comparison with 2021'!$C$10:$C$12)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4-4BBE-A0A6-DAA2F02AFB1E}"/>
            </c:ext>
          </c:extLst>
        </c:ser>
        <c:ser>
          <c:idx val="1"/>
          <c:order val="1"/>
          <c:tx>
            <c:strRef>
              <c:f>'Comparison with 2021'!$B$32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2021'!$G$7:$G$8,'Comparison with 2021'!$G$10:$G$12)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4-4BBE-A0A6-DAA2F02AFB1E}"/>
            </c:ext>
          </c:extLst>
        </c:ser>
        <c:ser>
          <c:idx val="2"/>
          <c:order val="2"/>
          <c:tx>
            <c:strRef>
              <c:f>'Comparison with 2021'!$K$9:$N$9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solidFill>
              <a:srgbClr val="7D0532"/>
            </a:solidFill>
            <a:ln>
              <a:solidFill>
                <a:srgbClr val="7D0532"/>
              </a:solidFill>
            </a:ln>
          </c:spPr>
          <c:invertIfNegative val="0"/>
          <c:dLbls>
            <c:delete val="1"/>
          </c:dLbls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2021'!$K$7:$K$8,'Comparison with 2021'!$K$10:$K$12)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8-4599-8B82-4D4C39C45F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0624786606968881"/>
          <c:w val="0.98039134021662788"/>
          <c:h val="0.2538583553427452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13717796065939E-2"/>
          <c:y val="4.1904773431540039E-2"/>
          <c:w val="0.87159138879919662"/>
          <c:h val="0.51788402274973977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2021'!$B$30</c:f>
              <c:strCache>
                <c:ptCount val="1"/>
                <c:pt idx="0">
                  <c:v>За базовим макроекономічним сценарієм (оцінка стійкості 2023 року)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2021'!$F$7:$F$8,'Comparison with 2021'!$F$10:$F$12)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D-4CB8-BD41-DE9104E36281}"/>
            </c:ext>
          </c:extLst>
        </c:ser>
        <c:ser>
          <c:idx val="2"/>
          <c:order val="1"/>
          <c:tx>
            <c:strRef>
              <c:f>'Comparison with 2021'!$B$32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ln w="25400">
              <a:solidFill>
                <a:srgbClr val="91C864"/>
              </a:solidFill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2021'!$J$7:$J$8,'Comparison with 2021'!$J$10:$J$12)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FD-4CB8-BD41-DE9104E36281}"/>
            </c:ext>
          </c:extLst>
        </c:ser>
        <c:ser>
          <c:idx val="1"/>
          <c:order val="2"/>
          <c:tx>
            <c:strRef>
              <c:f>'Comparison with 2021'!$K$9:$N$9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ln w="25400">
              <a:solidFill>
                <a:srgbClr val="7D0532"/>
              </a:solidFill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2021'!$N$7:$N$8,'Comparison with 2021'!$N$10:$N$12)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9-4AA1-B877-369BFE591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3.3195020746887967E-2"/>
          <c:y val="0.68636279797205957"/>
          <c:w val="0.84118352240945793"/>
          <c:h val="0.2486497164362306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937908496732"/>
          <c:y val="4.0509167753591722E-2"/>
          <c:w val="0.8234562091503268"/>
          <c:h val="0.50455805432859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with 2021'!$B$30</c:f>
              <c:strCache>
                <c:ptCount val="1"/>
                <c:pt idx="0">
                  <c:v>За базовим макроекономічним сценарієм (оцінка стійкості 2023 року)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elete val="1"/>
          </c:dLbls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2021'!$D$7:$D$8,'Comparison with 2021'!$D$10:$D$12)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6-4A3D-B03F-B06465356C61}"/>
            </c:ext>
          </c:extLst>
        </c:ser>
        <c:ser>
          <c:idx val="1"/>
          <c:order val="1"/>
          <c:tx>
            <c:strRef>
              <c:f>'Comparison with 2021'!$B$32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elete val="1"/>
          </c:dLbls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2021'!$H$7:$H$8,'Comparison with 2021'!$H$10:$H$12)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6-4A3D-B03F-B06465356C61}"/>
            </c:ext>
          </c:extLst>
        </c:ser>
        <c:ser>
          <c:idx val="2"/>
          <c:order val="2"/>
          <c:tx>
            <c:strRef>
              <c:f>'Comparison with 2021'!$K$9:$N$9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delete val="1"/>
          </c:dLbls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2021'!$L$7:$L$8,'Comparison with 2021'!$L$10:$L$12)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F-4B7F-8DAC-817202AD4D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69565964482901765"/>
          <c:w val="0.8815844279830779"/>
          <c:h val="0.250856965317348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34794293039538E-2"/>
          <c:y val="4.1851503135430061E-2"/>
          <c:w val="0.87097033904014043"/>
          <c:h val="0.50013198882563892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2021'!$B$30</c:f>
              <c:strCache>
                <c:ptCount val="1"/>
                <c:pt idx="0">
                  <c:v>За базовим макроекономічним сценарієм (оцінка стійкості 2023 року)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2021'!$E$7:$E$8,'Comparison with 2021'!$E$10:$E$12)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E-4B4B-9BE9-E6CDB8CB5718}"/>
            </c:ext>
          </c:extLst>
        </c:ser>
        <c:ser>
          <c:idx val="2"/>
          <c:order val="1"/>
          <c:tx>
            <c:strRef>
              <c:f>'Comparison with 2021'!$B$32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ln w="25400">
              <a:solidFill>
                <a:srgbClr val="91C864"/>
              </a:solidFill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2021'!$I$7:$I$8,'Comparison with 2021'!$I$10:$I$12)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1E-4B4B-9BE9-E6CDB8CB5718}"/>
            </c:ext>
          </c:extLst>
        </c:ser>
        <c:ser>
          <c:idx val="1"/>
          <c:order val="2"/>
          <c:tx>
            <c:strRef>
              <c:f>'Comparison with 2021'!$K$9:$N$9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ln w="25400">
              <a:solidFill>
                <a:srgbClr val="7D0532"/>
              </a:solidFill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2021'!$M$7:$M$8,'Comparison with 2021'!$M$10:$M$12)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4-438C-ACFF-B4C6CDF0F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3.3195020746887967E-2"/>
          <c:y val="0.68083231252736787"/>
          <c:w val="0.83633569486261083"/>
          <c:h val="0.2493693421550363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937908496732"/>
          <c:y val="4.0509167753591722E-2"/>
          <c:w val="0.8234562091503268"/>
          <c:h val="0.59308758506348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banks'!$D$4:$F$4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banks'!$C$6:$C$7,'Comparison of banks'!$C$9:$C$11)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8D-439A-B8A4-E85CC364BD05}"/>
            </c:ext>
          </c:extLst>
        </c:ser>
        <c:ser>
          <c:idx val="1"/>
          <c:order val="1"/>
          <c:tx>
            <c:strRef>
              <c:f>'Comparison of banks'!$H$4:$J$4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banks'!$G$6:$G$7,'Comparison of banks'!$G$9:$G$11)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8D-439A-B8A4-E85CC364BD05}"/>
            </c:ext>
          </c:extLst>
        </c:ser>
        <c:ser>
          <c:idx val="2"/>
          <c:order val="2"/>
          <c:tx>
            <c:strRef>
              <c:f>'Comparison of banks'!$L$4:$N$4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banks'!$K$6:$K$7,'Comparison of banks'!$K$9:$K$11)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8D-439A-B8A4-E85CC364BD05}"/>
            </c:ext>
          </c:extLst>
        </c:ser>
        <c:ser>
          <c:idx val="3"/>
          <c:order val="3"/>
          <c:tx>
            <c:strRef>
              <c:f>'Comparison of banks'!$P$4:$R$4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banks'!$O$6:$O$7,'Comparison of banks'!$O$9:$O$11)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8D-439A-B8A4-E85CC364BD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7160319530650889"/>
          <c:w val="0.96136894060989919"/>
          <c:h val="0.228396804693491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2872437754412"/>
          <c:y val="4.0509167753591722E-2"/>
          <c:w val="0.83961286542763225"/>
          <c:h val="0.5831952364057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banks'!$D$4:$F$4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banks'!$F$6:$F$7,'Comparison of banks'!$F$9:$F$11)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A-459B-86DD-E3F9EECFDAEA}"/>
            </c:ext>
          </c:extLst>
        </c:ser>
        <c:ser>
          <c:idx val="1"/>
          <c:order val="1"/>
          <c:tx>
            <c:strRef>
              <c:f>'Comparison of banks'!$H$4:$J$4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banks'!$J$6:$J$7,'Comparison of banks'!$J$9:$J$11)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A-459B-86DD-E3F9EECFDAEA}"/>
            </c:ext>
          </c:extLst>
        </c:ser>
        <c:ser>
          <c:idx val="2"/>
          <c:order val="2"/>
          <c:tx>
            <c:strRef>
              <c:f>'Comparison of banks'!$L$4:$N$4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banks'!$N$6:$N$7,'Comparison of banks'!$N$9:$N$11)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DA-459B-86DD-E3F9EECFDAEA}"/>
            </c:ext>
          </c:extLst>
        </c:ser>
        <c:ser>
          <c:idx val="3"/>
          <c:order val="3"/>
          <c:tx>
            <c:strRef>
              <c:f>'Comparison of banks'!$P$4:$R$4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banks'!$R$6:$R$7,'Comparison of banks'!$R$9:$R$11)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DA-459B-86DD-E3F9EECFDA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7160319530650889"/>
          <c:w val="0.96235855097413503"/>
          <c:h val="0.228396804693491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23929245686"/>
          <c:y val="3.8783282262340159E-2"/>
          <c:w val="0.85228359612943116"/>
          <c:h val="0.55550802907901475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group'!$C$5:$F$5</c:f>
              <c:strCache>
                <c:ptCount val="1"/>
                <c:pt idx="0">
                  <c:v>0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group'!$F$7:$F$8,'Comparison with group'!$F$10:$F$12)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B-47B8-A121-F2921D6A3942}"/>
            </c:ext>
          </c:extLst>
        </c:ser>
        <c:ser>
          <c:idx val="1"/>
          <c:order val="1"/>
          <c:tx>
            <c:strRef>
              <c:f>'Comparison with group'!$G$5:$J$5</c:f>
              <c:strCache>
                <c:ptCount val="1"/>
                <c:pt idx="0">
                  <c:v>Усі банки, що проходили оцінку стійкості</c:v>
                </c:pt>
              </c:strCache>
            </c:strRef>
          </c:tx>
          <c:spPr>
            <a:ln w="2540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group'!$J$7,'Comparison with group'!$J$8,'Comparison with group'!$J$10:$J$12)</c:f>
              <c:numCache>
                <c:formatCode>0.0%</c:formatCode>
                <c:ptCount val="5"/>
                <c:pt idx="0">
                  <c:v>0.12497404201173062</c:v>
                </c:pt>
                <c:pt idx="1">
                  <c:v>0.12148019937602686</c:v>
                </c:pt>
                <c:pt idx="2">
                  <c:v>0.24945776575601283</c:v>
                </c:pt>
                <c:pt idx="3">
                  <c:v>0.32652210041298585</c:v>
                </c:pt>
                <c:pt idx="4">
                  <c:v>0.37948344155806635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CB-47B8-A121-F2921D6A3942}"/>
            </c:ext>
          </c:extLst>
        </c:ser>
        <c:ser>
          <c:idx val="3"/>
          <c:order val="2"/>
          <c:tx>
            <c:strRef>
              <c:f>'Comparison with group'!$K$5:$N$5</c:f>
              <c:strCache>
                <c:ptCount val="1"/>
              </c:strCache>
            </c:strRef>
          </c:tx>
          <c:spPr>
            <a:ln w="25400" cmpd="sng">
              <a:solidFill>
                <a:srgbClr val="46AFE6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group'!$M$7:$M$8,'Comparison with group'!$M$10:$M$12)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CB-47B8-A121-F2921D6A3942}"/>
            </c:ext>
          </c:extLst>
        </c:ser>
        <c:ser>
          <c:idx val="2"/>
          <c:order val="3"/>
          <c:tx>
            <c:strRef>
              <c:f>'Comparison with group'!$B$34</c:f>
              <c:strCache>
                <c:ptCount val="1"/>
                <c:pt idx="0">
                  <c:v>Граничне значення Н3 на нормативному рівні</c:v>
                </c:pt>
              </c:strCache>
            </c:strRef>
          </c:tx>
          <c:spPr>
            <a:ln w="25400">
              <a:solidFill>
                <a:srgbClr val="C84B64"/>
              </a:solidFill>
              <a:prstDash val="sysDash"/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01.04.23</c:v>
                </c:pt>
                <c:pt idx="1">
                  <c:v>AQR на 01.04.23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group'!$O$7:$O$8,'Comparison with group'!$O$10:$O$12)</c:f>
              <c:numCache>
                <c:formatCode>0%</c:formatCode>
                <c:ptCount val="5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CB-47B8-A121-F2921D6A3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832031846733106"/>
          <c:w val="0.96491228070175439"/>
          <c:h val="0.1765279512594016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21" dropStyle="combo" dx="20" fmlaLink="$C$2" fmlaRange="'Data table'!$C$11:$C$32" sel="21" val="0"/>
</file>

<file path=xl/ctrlProps/ctrlProp10.xml><?xml version="1.0" encoding="utf-8"?>
<formControlPr xmlns="http://schemas.microsoft.com/office/spreadsheetml/2009/9/main" objectType="Drop" dropLines="23" dropStyle="combo" dx="20" fmlaLink="$H$2" fmlaRange="'Data table'!$C$11:$C$32" sel="21" val="0"/>
</file>

<file path=xl/ctrlProps/ctrlProp11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ctrlProps/ctrlProp12.xml><?xml version="1.0" encoding="utf-8"?>
<formControlPr xmlns="http://schemas.microsoft.com/office/spreadsheetml/2009/9/main" objectType="Drop" dropLines="20" dropStyle="combo" dx="20" fmlaLink="$E$4" fmlaRange="'Data table'!$C$11:$C$32" sel="21" val="0"/>
</file>

<file path=xl/ctrlProps/ctrlProp13.xml><?xml version="1.0" encoding="utf-8"?>
<formControlPr xmlns="http://schemas.microsoft.com/office/spreadsheetml/2009/9/main" objectType="Drop" dropLines="23" dropStyle="combo" dx="20" fmlaLink="$G$4" fmlaRange="'Data table'!$C$11:$C$32" sel="21" val="0"/>
</file>

<file path=xl/ctrlProps/ctrlProp14.xml><?xml version="1.0" encoding="utf-8"?>
<formControlPr xmlns="http://schemas.microsoft.com/office/spreadsheetml/2009/9/main" objectType="Drop" dropLines="23" dropStyle="combo" dx="20" fmlaLink="$I$4" fmlaRange="'Data table'!$C$11:$C$32" sel="21" val="0"/>
</file>

<file path=xl/ctrlProps/ctrlProp15.xml><?xml version="1.0" encoding="utf-8"?>
<formControlPr xmlns="http://schemas.microsoft.com/office/spreadsheetml/2009/9/main" objectType="Drop" dropLines="23" dropStyle="combo" dx="20" fmlaLink="$K$4" fmlaRange="'2021 data table'!$C$10:$C$40" sel="21" val="8"/>
</file>

<file path=xl/ctrlProps/ctrlProp16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ctrlProps/ctrlProp17.xml><?xml version="1.0" encoding="utf-8"?>
<formControlPr xmlns="http://schemas.microsoft.com/office/spreadsheetml/2009/9/main" objectType="Drop" dropLines="20" dropStyle="combo" dx="20" fmlaLink="$G$4" fmlaRange="'Data table'!$C$11:$C$32" sel="21" val="0"/>
</file>

<file path=xl/ctrlProps/ctrlProp18.xml><?xml version="1.0" encoding="utf-8"?>
<formControlPr xmlns="http://schemas.microsoft.com/office/spreadsheetml/2009/9/main" objectType="Drop" dropLines="20" dropStyle="combo" dx="20" fmlaLink="$I$4" fmlaRange="'Data table'!$C$11:$C$32" sel="21" val="0"/>
</file>

<file path=xl/ctrlProps/ctrlProp19.xml><?xml version="1.0" encoding="utf-8"?>
<formControlPr xmlns="http://schemas.microsoft.com/office/spreadsheetml/2009/9/main" objectType="Drop" dropLines="20" dropStyle="combo" dx="20" fmlaLink="$K$4" fmlaRange="'Data table'!$C$11:$C$32" sel="21" val="0"/>
</file>

<file path=xl/ctrlProps/ctrlProp2.xml><?xml version="1.0" encoding="utf-8"?>
<formControlPr xmlns="http://schemas.microsoft.com/office/spreadsheetml/2009/9/main" objectType="Drop" dropLines="2" dropStyle="combo" dx="20" fmlaLink="$J$1" fmlaRange="$B$35:$B$36" sel="1" val="0"/>
</file>

<file path=xl/ctrlProps/ctrlProp20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ctrlProps/ctrlProp21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ctrlProps/ctrlProp3.xml><?xml version="1.0" encoding="utf-8"?>
<formControlPr xmlns="http://schemas.microsoft.com/office/spreadsheetml/2009/9/main" objectType="Drop" dropLines="21" dropStyle="combo" dx="20" fmlaLink="$H$2" fmlaRange="'Data table'!$C$11:$C$32" sel="21" val="0"/>
</file>

<file path=xl/ctrlProps/ctrlProp4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ctrlProps/ctrlProp5.xml><?xml version="1.0" encoding="utf-8"?>
<formControlPr xmlns="http://schemas.microsoft.com/office/spreadsheetml/2009/9/main" objectType="Drop" dropLines="21" dropStyle="combo" dx="20" fmlaLink="$C$4" fmlaRange="'Data table'!$C$11:$C$32" sel="21" val="0"/>
</file>

<file path=xl/ctrlProps/ctrlProp6.xml><?xml version="1.0" encoding="utf-8"?>
<formControlPr xmlns="http://schemas.microsoft.com/office/spreadsheetml/2009/9/main" objectType="Drop" dropLines="21" dropStyle="combo" dx="20" fmlaLink="$G$4" fmlaRange="'Data table'!$C$11:$C$32" sel="21" val="0"/>
</file>

<file path=xl/ctrlProps/ctrlProp7.xml><?xml version="1.0" encoding="utf-8"?>
<formControlPr xmlns="http://schemas.microsoft.com/office/spreadsheetml/2009/9/main" objectType="Drop" dropLines="21" dropStyle="combo" dx="20" fmlaLink="$K$4" fmlaRange="'Data table'!$C$11:$C$32" sel="21" val="0"/>
</file>

<file path=xl/ctrlProps/ctrlProp8.xml><?xml version="1.0" encoding="utf-8"?>
<formControlPr xmlns="http://schemas.microsoft.com/office/spreadsheetml/2009/9/main" objectType="Drop" dropLines="21" dropStyle="combo" dx="20" fmlaLink="$O$4" fmlaRange="'Data table'!$C$11:$C$32" sel="21" val="0"/>
</file>

<file path=xl/ctrlProps/ctrlProp9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2499360</xdr:colOff>
          <xdr:row>0</xdr:row>
          <xdr:rowOff>91440</xdr:rowOff>
        </xdr:from>
        <xdr:to>
          <xdr:col>4</xdr:col>
          <xdr:colOff>731520</xdr:colOff>
          <xdr:row>1</xdr:row>
          <xdr:rowOff>137160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701040</xdr:colOff>
          <xdr:row>0</xdr:row>
          <xdr:rowOff>15240</xdr:rowOff>
        </xdr:from>
        <xdr:to>
          <xdr:col>11</xdr:col>
          <xdr:colOff>182880</xdr:colOff>
          <xdr:row>1</xdr:row>
          <xdr:rowOff>53340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134471</xdr:colOff>
      <xdr:row>15</xdr:row>
      <xdr:rowOff>304800</xdr:rowOff>
    </xdr:from>
    <xdr:to>
      <xdr:col>5</xdr:col>
      <xdr:colOff>722453</xdr:colOff>
      <xdr:row>31</xdr:row>
      <xdr:rowOff>57750</xdr:rowOff>
    </xdr:to>
    <xdr:graphicFrame macro="">
      <xdr:nvGraphicFramePr>
        <xdr:cNvPr id="6" name="Діаграма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107576</xdr:colOff>
      <xdr:row>15</xdr:row>
      <xdr:rowOff>251013</xdr:rowOff>
    </xdr:from>
    <xdr:to>
      <xdr:col>12</xdr:col>
      <xdr:colOff>572097</xdr:colOff>
      <xdr:row>29</xdr:row>
      <xdr:rowOff>107577</xdr:rowOff>
    </xdr:to>
    <xdr:graphicFrame macro="">
      <xdr:nvGraphicFramePr>
        <xdr:cNvPr id="7" name="Діаграма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73334</xdr:colOff>
      <xdr:row>16</xdr:row>
      <xdr:rowOff>143461</xdr:rowOff>
    </xdr:from>
    <xdr:to>
      <xdr:col>3</xdr:col>
      <xdr:colOff>576943</xdr:colOff>
      <xdr:row>33</xdr:row>
      <xdr:rowOff>153957</xdr:rowOff>
    </xdr:to>
    <xdr:graphicFrame macro="">
      <xdr:nvGraphicFramePr>
        <xdr:cNvPr id="2" name="Діаграма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710134</xdr:colOff>
      <xdr:row>16</xdr:row>
      <xdr:rowOff>139594</xdr:rowOff>
    </xdr:from>
    <xdr:to>
      <xdr:col>7</xdr:col>
      <xdr:colOff>185057</xdr:colOff>
      <xdr:row>34</xdr:row>
      <xdr:rowOff>53009</xdr:rowOff>
    </xdr:to>
    <xdr:graphicFrame macro="">
      <xdr:nvGraphicFramePr>
        <xdr:cNvPr id="3" name="Діаграма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0</xdr:row>
          <xdr:rowOff>152400</xdr:rowOff>
        </xdr:from>
        <xdr:to>
          <xdr:col>9</xdr:col>
          <xdr:colOff>160020</xdr:colOff>
          <xdr:row>2</xdr:row>
          <xdr:rowOff>30480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464820</xdr:colOff>
          <xdr:row>0</xdr:row>
          <xdr:rowOff>7620</xdr:rowOff>
        </xdr:from>
        <xdr:to>
          <xdr:col>11</xdr:col>
          <xdr:colOff>15240</xdr:colOff>
          <xdr:row>1</xdr:row>
          <xdr:rowOff>38100</xdr:rowOff>
        </xdr:to>
        <xdr:sp macro="" textlink="">
          <xdr:nvSpPr>
            <xdr:cNvPr id="19461" name="Drop Down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130627</xdr:colOff>
      <xdr:row>16</xdr:row>
      <xdr:rowOff>136069</xdr:rowOff>
    </xdr:from>
    <xdr:to>
      <xdr:col>10</xdr:col>
      <xdr:colOff>846804</xdr:colOff>
      <xdr:row>34</xdr:row>
      <xdr:rowOff>23427</xdr:rowOff>
    </xdr:to>
    <xdr:graphicFrame macro="">
      <xdr:nvGraphicFramePr>
        <xdr:cNvPr id="11" name="Діаграма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152398</xdr:colOff>
      <xdr:row>16</xdr:row>
      <xdr:rowOff>141514</xdr:rowOff>
    </xdr:from>
    <xdr:to>
      <xdr:col>15</xdr:col>
      <xdr:colOff>76199</xdr:colOff>
      <xdr:row>34</xdr:row>
      <xdr:rowOff>46383</xdr:rowOff>
    </xdr:to>
    <xdr:graphicFrame macro="">
      <xdr:nvGraphicFramePr>
        <xdr:cNvPr id="12" name="Діаграма 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1604682</xdr:colOff>
      <xdr:row>15</xdr:row>
      <xdr:rowOff>161150</xdr:rowOff>
    </xdr:from>
    <xdr:to>
      <xdr:col>5</xdr:col>
      <xdr:colOff>621600</xdr:colOff>
      <xdr:row>31</xdr:row>
      <xdr:rowOff>3521</xdr:rowOff>
    </xdr:to>
    <xdr:graphicFrame macro="">
      <xdr:nvGraphicFramePr>
        <xdr:cNvPr id="2" name="Діаграма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699247</xdr:colOff>
      <xdr:row>16</xdr:row>
      <xdr:rowOff>8965</xdr:rowOff>
    </xdr:from>
    <xdr:to>
      <xdr:col>9</xdr:col>
      <xdr:colOff>583155</xdr:colOff>
      <xdr:row>31</xdr:row>
      <xdr:rowOff>21665</xdr:rowOff>
    </xdr:to>
    <xdr:graphicFrame macro="">
      <xdr:nvGraphicFramePr>
        <xdr:cNvPr id="4" name="Діаграма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3</xdr:row>
          <xdr:rowOff>45720</xdr:rowOff>
        </xdr:from>
        <xdr:to>
          <xdr:col>5</xdr:col>
          <xdr:colOff>426720</xdr:colOff>
          <xdr:row>3</xdr:row>
          <xdr:rowOff>266700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3</xdr:row>
          <xdr:rowOff>38100</xdr:rowOff>
        </xdr:from>
        <xdr:to>
          <xdr:col>9</xdr:col>
          <xdr:colOff>411480</xdr:colOff>
          <xdr:row>3</xdr:row>
          <xdr:rowOff>259080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45720</xdr:rowOff>
        </xdr:from>
        <xdr:to>
          <xdr:col>13</xdr:col>
          <xdr:colOff>518160</xdr:colOff>
          <xdr:row>3</xdr:row>
          <xdr:rowOff>274320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320040</xdr:colOff>
          <xdr:row>3</xdr:row>
          <xdr:rowOff>38100</xdr:rowOff>
        </xdr:from>
        <xdr:to>
          <xdr:col>17</xdr:col>
          <xdr:colOff>426720</xdr:colOff>
          <xdr:row>3</xdr:row>
          <xdr:rowOff>266700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502920</xdr:colOff>
          <xdr:row>0</xdr:row>
          <xdr:rowOff>0</xdr:rowOff>
        </xdr:from>
        <xdr:to>
          <xdr:col>18</xdr:col>
          <xdr:colOff>7620</xdr:colOff>
          <xdr:row>1</xdr:row>
          <xdr:rowOff>30480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1566621</xdr:colOff>
      <xdr:row>17</xdr:row>
      <xdr:rowOff>18273</xdr:rowOff>
    </xdr:from>
    <xdr:to>
      <xdr:col>5</xdr:col>
      <xdr:colOff>621069</xdr:colOff>
      <xdr:row>33</xdr:row>
      <xdr:rowOff>57148</xdr:rowOff>
    </xdr:to>
    <xdr:graphicFrame macro="">
      <xdr:nvGraphicFramePr>
        <xdr:cNvPr id="5" name="Діаграма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822960</xdr:colOff>
          <xdr:row>0</xdr:row>
          <xdr:rowOff>160020</xdr:rowOff>
        </xdr:from>
        <xdr:to>
          <xdr:col>10</xdr:col>
          <xdr:colOff>83820</xdr:colOff>
          <xdr:row>2</xdr:row>
          <xdr:rowOff>30480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8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541020</xdr:colOff>
          <xdr:row>0</xdr:row>
          <xdr:rowOff>7620</xdr:rowOff>
        </xdr:from>
        <xdr:to>
          <xdr:col>15</xdr:col>
          <xdr:colOff>0</xdr:colOff>
          <xdr:row>1</xdr:row>
          <xdr:rowOff>38100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8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</xdr:row>
          <xdr:rowOff>106680</xdr:rowOff>
        </xdr:from>
        <xdr:to>
          <xdr:col>6</xdr:col>
          <xdr:colOff>0</xdr:colOff>
          <xdr:row>3</xdr:row>
          <xdr:rowOff>342900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</xdr:row>
          <xdr:rowOff>99060</xdr:rowOff>
        </xdr:from>
        <xdr:to>
          <xdr:col>7</xdr:col>
          <xdr:colOff>632460</xdr:colOff>
          <xdr:row>3</xdr:row>
          <xdr:rowOff>335280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7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</xdr:row>
          <xdr:rowOff>99060</xdr:rowOff>
        </xdr:from>
        <xdr:to>
          <xdr:col>9</xdr:col>
          <xdr:colOff>1272540</xdr:colOff>
          <xdr:row>3</xdr:row>
          <xdr:rowOff>327660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7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</xdr:row>
          <xdr:rowOff>99060</xdr:rowOff>
        </xdr:from>
        <xdr:to>
          <xdr:col>11</xdr:col>
          <xdr:colOff>1310640</xdr:colOff>
          <xdr:row>3</xdr:row>
          <xdr:rowOff>327660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7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426720</xdr:colOff>
          <xdr:row>0</xdr:row>
          <xdr:rowOff>7620</xdr:rowOff>
        </xdr:from>
        <xdr:to>
          <xdr:col>13</xdr:col>
          <xdr:colOff>7620</xdr:colOff>
          <xdr:row>1</xdr:row>
          <xdr:rowOff>38100</xdr:rowOff>
        </xdr:to>
        <xdr:sp macro="" textlink="">
          <xdr:nvSpPr>
            <xdr:cNvPr id="4106" name="Drop Dow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7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196582</xdr:colOff>
      <xdr:row>12</xdr:row>
      <xdr:rowOff>442473</xdr:rowOff>
    </xdr:from>
    <xdr:to>
      <xdr:col>3</xdr:col>
      <xdr:colOff>1223450</xdr:colOff>
      <xdr:row>24</xdr:row>
      <xdr:rowOff>130628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1388248</xdr:colOff>
      <xdr:row>12</xdr:row>
      <xdr:rowOff>448876</xdr:rowOff>
    </xdr:from>
    <xdr:to>
      <xdr:col>6</xdr:col>
      <xdr:colOff>1002533</xdr:colOff>
      <xdr:row>24</xdr:row>
      <xdr:rowOff>116541</xdr:rowOff>
    </xdr:to>
    <xdr:graphicFrame macro="">
      <xdr:nvGraphicFramePr>
        <xdr:cNvPr id="15" name="Діаграма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32656</xdr:colOff>
      <xdr:row>12</xdr:row>
      <xdr:rowOff>483455</xdr:rowOff>
    </xdr:from>
    <xdr:to>
      <xdr:col>11</xdr:col>
      <xdr:colOff>71485</xdr:colOff>
      <xdr:row>24</xdr:row>
      <xdr:rowOff>107576</xdr:rowOff>
    </xdr:to>
    <xdr:graphicFrame macro="">
      <xdr:nvGraphicFramePr>
        <xdr:cNvPr id="17" name="Діаграма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76200</xdr:colOff>
      <xdr:row>12</xdr:row>
      <xdr:rowOff>490497</xdr:rowOff>
    </xdr:from>
    <xdr:to>
      <xdr:col>13</xdr:col>
      <xdr:colOff>49714</xdr:colOff>
      <xdr:row>24</xdr:row>
      <xdr:rowOff>170328</xdr:rowOff>
    </xdr:to>
    <xdr:graphicFrame macro="">
      <xdr:nvGraphicFramePr>
        <xdr:cNvPr id="18" name="Діаграма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</xdr:row>
          <xdr:rowOff>106680</xdr:rowOff>
        </xdr:from>
        <xdr:to>
          <xdr:col>8</xdr:col>
          <xdr:colOff>68580</xdr:colOff>
          <xdr:row>3</xdr:row>
          <xdr:rowOff>342900</xdr:rowOff>
        </xdr:to>
        <xdr:sp macro="" textlink="">
          <xdr:nvSpPr>
            <xdr:cNvPr id="4107" name="Drop Dow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3</xdr:row>
          <xdr:rowOff>106680</xdr:rowOff>
        </xdr:from>
        <xdr:to>
          <xdr:col>10</xdr:col>
          <xdr:colOff>0</xdr:colOff>
          <xdr:row>3</xdr:row>
          <xdr:rowOff>342900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3</xdr:row>
          <xdr:rowOff>106680</xdr:rowOff>
        </xdr:from>
        <xdr:to>
          <xdr:col>11</xdr:col>
          <xdr:colOff>1287780</xdr:colOff>
          <xdr:row>3</xdr:row>
          <xdr:rowOff>342900</xdr:rowOff>
        </xdr:to>
        <xdr:sp macro="" textlink="">
          <xdr:nvSpPr>
            <xdr:cNvPr id="4109" name="Drop Down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0</xdr:rowOff>
        </xdr:from>
        <xdr:to>
          <xdr:col>10</xdr:col>
          <xdr:colOff>45720</xdr:colOff>
          <xdr:row>1</xdr:row>
          <xdr:rowOff>22860</xdr:rowOff>
        </xdr:to>
        <xdr:sp macro="" textlink="">
          <xdr:nvSpPr>
            <xdr:cNvPr id="27649" name="Drop Down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1485900</xdr:colOff>
          <xdr:row>0</xdr:row>
          <xdr:rowOff>0</xdr:rowOff>
        </xdr:from>
        <xdr:to>
          <xdr:col>10</xdr:col>
          <xdr:colOff>99060</xdr:colOff>
          <xdr:row>1</xdr:row>
          <xdr:rowOff>22860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\work\DFS\Urgent\Dadashova\model_ST_19\ST_final_results_2019\model_ST_2019.07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"/>
      <sheetName val="Capital"/>
      <sheetName val="FinStatement"/>
      <sheetName val="Interest_Inc+Exp"/>
      <sheetName val="Loans_fcast"/>
      <sheetName val="macro"/>
      <sheetName val="Loans_OthAssets_data"/>
      <sheetName val="Inputs_TablesBank"/>
      <sheetName val="ChangeLog"/>
      <sheetName val="!!!ALFA DELETE!!!"/>
      <sheetName val="Сheck_Interest_Income"/>
      <sheetName val="Check_Loans_fcast"/>
      <sheetName val="1_Capital_Chart"/>
      <sheetName val="2_Balance"/>
      <sheetName val="3_Factors"/>
      <sheetName val="4_EAD_CR_Chart"/>
      <sheetName val="5_Interest_Inc+Exp_Chart"/>
      <sheetName val="6_Interest_Rates_Chart"/>
      <sheetName val="7_PandL"/>
      <sheetName val="8_Annexes_1_2"/>
      <sheetName val="8_Annexes_3"/>
    </sheetNames>
    <sheetDataSet>
      <sheetData sheetId="0">
        <row r="6">
          <cell r="C6" t="str">
            <v>UKR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NBU">
      <a:dk1>
        <a:sysClr val="windowText" lastClr="000000"/>
      </a:dk1>
      <a:lt1>
        <a:sysClr val="window" lastClr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2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1"/>
  <dimension ref="A1:Q36"/>
  <sheetViews>
    <sheetView tabSelected="1" zoomScale="70" zoomScaleNormal="70" workbookViewId="0"/>
  </sheetViews>
  <sheetFormatPr defaultColWidth="8.88671875" defaultRowHeight="13.2" x14ac:dyDescent="0.25"/>
  <cols>
    <col min="1" max="1" width="3.6640625" style="1" customWidth="1"/>
    <col min="2" max="2" width="37.77734375" style="1" customWidth="1"/>
    <col min="3" max="5" width="12.33203125" style="1" customWidth="1"/>
    <col min="6" max="7" width="12.44140625" style="1" customWidth="1"/>
    <col min="8" max="9" width="12.44140625" style="1" hidden="1" customWidth="1"/>
    <col min="10" max="10" width="3.77734375" style="1" hidden="1" customWidth="1"/>
    <col min="11" max="11" width="13.44140625" style="1" customWidth="1"/>
    <col min="12" max="12" width="11.88671875" style="1" customWidth="1"/>
    <col min="13" max="16" width="8.88671875" style="1"/>
    <col min="17" max="17" width="3.5546875" style="1" customWidth="1"/>
    <col min="18" max="16384" width="8.88671875" style="1"/>
  </cols>
  <sheetData>
    <row r="1" spans="1:17" x14ac:dyDescent="0.25">
      <c r="J1" s="1">
        <v>1</v>
      </c>
      <c r="K1" s="52" t="str">
        <f>INDEX($B$35:$B$36,J1,1)</f>
        <v>UA</v>
      </c>
      <c r="L1" s="58" t="str">
        <f>IF($K$1="ENG","Змінити мову тут","Change language here")</f>
        <v>Change language here</v>
      </c>
    </row>
    <row r="2" spans="1:17" ht="13.8" customHeight="1" x14ac:dyDescent="0.25">
      <c r="B2" s="5" t="str">
        <f>IF($K$1="ENG","Resilience assessment results","Результати оцінки стійкості")</f>
        <v>Результати оцінки стійкості</v>
      </c>
      <c r="C2" s="39">
        <v>21</v>
      </c>
      <c r="D2" s="38">
        <f>INDEX('Data table'!$C$11:$C$32,'Individual banks'!C2,1)</f>
        <v>0</v>
      </c>
      <c r="E2" s="36"/>
      <c r="F2" s="36"/>
      <c r="G2" s="36"/>
    </row>
    <row r="3" spans="1:17" x14ac:dyDescent="0.25">
      <c r="B3" s="11"/>
      <c r="C3" s="11"/>
      <c r="D3" s="11"/>
      <c r="E3" s="11"/>
      <c r="F3" s="11"/>
      <c r="G3" s="11"/>
      <c r="H3" s="11"/>
      <c r="I3" s="11"/>
      <c r="K3" s="12" t="s">
        <v>0</v>
      </c>
    </row>
    <row r="4" spans="1:17" ht="27" customHeight="1" x14ac:dyDescent="0.25">
      <c r="B4" s="161" t="str">
        <f>IF($K$1="ENG","Indicator","Показник")</f>
        <v>Показник</v>
      </c>
      <c r="C4" s="155" t="str">
        <f>IF($K$1="ENG","Bank's data as of 1 Apr 2023","Дані банку на 01.04.23")</f>
        <v>Дані банку на 01.04.23</v>
      </c>
      <c r="D4" s="155" t="str">
        <f>IF($K$1="ENG","AQR as of 1 Apr 2023","AQR на 01.04.23")</f>
        <v>AQR на 01.04.23</v>
      </c>
      <c r="E4" s="155" t="str">
        <f>IF($K$1="ENG","Baseline scenario","За базовим макроекономічним сценарієм")</f>
        <v>За базовим макроекономічним сценарієм</v>
      </c>
      <c r="F4" s="155"/>
      <c r="G4" s="155"/>
      <c r="H4" s="155" t="str">
        <f>IF($K$1="ENG","Adverse scenario","За несприятливим макроекономічним сценарієм")</f>
        <v>За несприятливим макроекономічним сценарієм</v>
      </c>
      <c r="I4" s="155"/>
      <c r="J4" s="155"/>
      <c r="K4" s="155" t="str">
        <f>IF($K$1="ENG","Required (target) level","Необхідний (цільовий) рівень")</f>
        <v>Необхідний (цільовий) рівень</v>
      </c>
    </row>
    <row r="5" spans="1:17" ht="15.6" customHeight="1" x14ac:dyDescent="0.25">
      <c r="B5" s="161"/>
      <c r="C5" s="156"/>
      <c r="D5" s="156"/>
      <c r="E5" s="69" t="str">
        <f>'2021 data table'!P7</f>
        <v>1-й</v>
      </c>
      <c r="F5" s="69" t="str">
        <f>'2021 data table'!Q7</f>
        <v>2-й</v>
      </c>
      <c r="G5" s="69" t="str">
        <f>'2021 data table'!R7</f>
        <v>3-й</v>
      </c>
      <c r="H5" s="69" t="str">
        <f>E5</f>
        <v>1-й</v>
      </c>
      <c r="I5" s="69" t="str">
        <f>F5</f>
        <v>2-й</v>
      </c>
      <c r="J5" s="69" t="str">
        <f>G5</f>
        <v>3-й</v>
      </c>
      <c r="K5" s="156"/>
    </row>
    <row r="6" spans="1:17" ht="13.2" customHeight="1" x14ac:dyDescent="0.25">
      <c r="B6" s="161"/>
      <c r="C6" s="157"/>
      <c r="D6" s="157"/>
      <c r="E6" s="157" t="str">
        <f>'2021 data table'!P8</f>
        <v>прогнозний рік</v>
      </c>
      <c r="F6" s="157"/>
      <c r="G6" s="157"/>
      <c r="H6" s="157" t="str">
        <f>E6</f>
        <v>прогнозний рік</v>
      </c>
      <c r="I6" s="157"/>
      <c r="J6" s="157"/>
      <c r="K6" s="157"/>
    </row>
    <row r="7" spans="1:17" x14ac:dyDescent="0.25">
      <c r="B7" s="102" t="str">
        <f>'2021 data table'!E6</f>
        <v>ОК, млн грн</v>
      </c>
      <c r="C7" s="87" t="str">
        <f>IFERROR(INDEX('Data table'!$E$11:$AH$32,MATCH('Individual banks'!$D$2,'Data table'!$C$11:$C$32,0),MATCH('Individual banks'!$B7,'Data table'!$E$6:$I$6,0)),"")</f>
        <v/>
      </c>
      <c r="D7" s="87" t="str">
        <f ca="1">IFERROR(OFFSET(INDEX('Data table'!$E$11:$AH$32,MATCH('Individual banks'!$D$2,'Data table'!$C$11:$C$32,0),MATCH('Individual banks'!$B7,'Data table'!$J$6:$O$6,0)),0,5),"")</f>
        <v/>
      </c>
      <c r="E7" s="88" t="str">
        <f ca="1">IFERROR(OFFSET(INDEX('Data table'!$E$11:$AH$32,MATCH('Individual banks'!$D$2,'Data table'!$C$11:$C$32,0),MATCH(E$5,'Data table'!$P$7:$R$7,0)),0,11),"")</f>
        <v/>
      </c>
      <c r="F7" s="88" t="str">
        <f ca="1">IFERROR(OFFSET(INDEX('Data table'!$E$11:$AH$32,MATCH('Individual banks'!$D$2,'Data table'!$C$11:$C$32,0),MATCH(F$5,'Data table'!$P$7:$R$7,0)),0,11),"")</f>
        <v/>
      </c>
      <c r="G7" s="88" t="str">
        <f ca="1">IFERROR(OFFSET(INDEX('Data table'!$E$11:$AH$32,MATCH('Individual banks'!$D$2,'Data table'!$C$11:$C$32,0),MATCH(G$5,'Data table'!$P$7:$R$7,0)),0,11),"")</f>
        <v/>
      </c>
      <c r="H7" s="88"/>
      <c r="I7" s="88"/>
      <c r="J7" s="88"/>
      <c r="K7" s="100" t="s">
        <v>4</v>
      </c>
      <c r="L7" s="32"/>
      <c r="M7" s="32"/>
      <c r="N7" s="46"/>
      <c r="O7" s="46"/>
    </row>
    <row r="8" spans="1:17" x14ac:dyDescent="0.25">
      <c r="B8" s="103" t="str">
        <f>'2021 data table'!F6</f>
        <v>РК, млн грн</v>
      </c>
      <c r="C8" s="89" t="str">
        <f>IFERROR(INDEX('Data table'!$E$11:$AH$32,MATCH('Individual banks'!$D$2,'Data table'!$C$11:$C$32,0),MATCH('Individual banks'!$B8,'Data table'!$E$6:$I$6,0)),"")</f>
        <v/>
      </c>
      <c r="D8" s="90" t="str">
        <f ca="1">IFERROR(OFFSET(INDEX('Data table'!$E$11:$AH$32,MATCH('Individual banks'!$D$2,'Data table'!$C$11:$C$32,0),MATCH('Individual banks'!$B8,'Data table'!$J$6:$O$6,0)),0,5),"")</f>
        <v/>
      </c>
      <c r="E8" s="91" t="str">
        <f ca="1">IFERROR(OFFSET(INDEX('Data table'!$E$11:$AH$32,MATCH('Individual banks'!$D$2,'Data table'!$C$11:$C$32,0),MATCH(E$5,'Data table'!$P$7:$R$7,0)),0,14),"")</f>
        <v/>
      </c>
      <c r="F8" s="91" t="str">
        <f ca="1">IFERROR(OFFSET(INDEX('Data table'!$E$11:$AH$32,MATCH('Individual banks'!$D$2,'Data table'!$C$11:$C$32,0),MATCH(F$5,'Data table'!$P$7:$R$7,0)),0,14),"")</f>
        <v/>
      </c>
      <c r="G8" s="91" t="str">
        <f ca="1">IFERROR(OFFSET(INDEX('Data table'!$E$11:$AH$32,MATCH('Individual banks'!$D$2,'Data table'!$C$11:$C$32,0),MATCH(G$5,'Data table'!$P$7:$R$7,0)),0,14),"")</f>
        <v/>
      </c>
      <c r="H8" s="91"/>
      <c r="I8" s="91"/>
      <c r="J8" s="91"/>
      <c r="K8" s="66" t="s">
        <v>4</v>
      </c>
      <c r="L8" s="32"/>
      <c r="M8" s="32"/>
      <c r="N8" s="46"/>
      <c r="O8" s="46"/>
    </row>
    <row r="9" spans="1:17" x14ac:dyDescent="0.25">
      <c r="B9" s="104" t="str">
        <f>'2021 data table'!G6</f>
        <v>Н2</v>
      </c>
      <c r="C9" s="85" t="str">
        <f>IFERROR(INDEX('Data table'!$E$11:$AH$32,MATCH('Individual banks'!$D$2,'Data table'!$C$11:$C$32,0),MATCH('Individual banks'!$B9,'Data table'!$E$6:$I$6,0)),"")</f>
        <v/>
      </c>
      <c r="D9" s="92" t="str">
        <f ca="1">IFERROR(OFFSET(INDEX('Data table'!$E$11:$AH$32,MATCH('Individual banks'!$D$2,'Data table'!$C$11:$C$32,0),MATCH('Individual banks'!$B9,'Data table'!$J$6:$O$6,0)),0,5),"")</f>
        <v/>
      </c>
      <c r="E9" s="93" t="str">
        <f ca="1">IFERROR(OFFSET(INDEX('Data table'!$E$11:$AH$32,MATCH('Individual banks'!$D$2,'Data table'!$C$11:$C$32,0),MATCH(E$5,'Data table'!$P$7:$R$7,0)),0,17),"")</f>
        <v/>
      </c>
      <c r="F9" s="93" t="str">
        <f ca="1">IFERROR(OFFSET(INDEX('Data table'!$E$11:$AH$32,MATCH('Individual banks'!$D$2,'Data table'!$C$11:$C$32,0),MATCH(F$5,'Data table'!$P$7:$R$7,0)),0,17),"")</f>
        <v/>
      </c>
      <c r="G9" s="93" t="str">
        <f ca="1">IFERROR(OFFSET(INDEX('Data table'!$E$11:$AH$32,MATCH('Individual banks'!$D$2,'Data table'!$C$11:$C$32,0),MATCH(G$5,'Data table'!$P$7:$R$7,0)),0,17),"")</f>
        <v/>
      </c>
      <c r="H9" s="93"/>
      <c r="I9" s="93"/>
      <c r="J9" s="93"/>
      <c r="K9" s="94" t="str">
        <f>IFERROR(INDEX('Data table'!$AG$11:$AG$32,MATCH('Individual banks'!$D$2,'Data table'!$C$11:$C$32,0),1),"")</f>
        <v/>
      </c>
      <c r="L9" s="67" t="str">
        <f>IF(OR(K9=10%,K9=""),"",IF($K$1="ENG","Above the minimal required capital adequacy level","Вищий за мінімальний необхідний рівень достатності капіталу"))</f>
        <v/>
      </c>
    </row>
    <row r="10" spans="1:17" x14ac:dyDescent="0.25">
      <c r="B10" s="105" t="str">
        <f>'2021 data table'!H6</f>
        <v>Н3</v>
      </c>
      <c r="C10" s="95" t="str">
        <f>IFERROR(INDEX('Data table'!$E$11:$AH$32,MATCH('Individual banks'!$D$2,'Data table'!$C$11:$C$32,0),MATCH('Individual banks'!$B10,'Data table'!$E$6:$I$6,0)),"")</f>
        <v/>
      </c>
      <c r="D10" s="96" t="str">
        <f ca="1">IFERROR(OFFSET(INDEX('Data table'!$E$11:$AH$32,MATCH('Individual banks'!$D$2,'Data table'!$C$11:$C$32,0),MATCH('Individual banks'!$B10,'Data table'!$J$6:$O$6,0)),0,5),"")</f>
        <v/>
      </c>
      <c r="E10" s="97" t="str">
        <f ca="1">IFERROR(OFFSET(INDEX('Data table'!$E$11:$AH$32,MATCH('Individual banks'!$D$2,'Data table'!$C$11:$C$32,0),MATCH(E$5,'Data table'!$P$7:$R$7,0)),0,20),"")</f>
        <v/>
      </c>
      <c r="F10" s="97" t="str">
        <f ca="1">IFERROR(OFFSET(INDEX('Data table'!$E$11:$AH$32,MATCH('Individual banks'!$D$2,'Data table'!$C$11:$C$32,0),MATCH(F$5,'Data table'!$P$7:$R$7,0)),0,20),"")</f>
        <v/>
      </c>
      <c r="G10" s="97" t="str">
        <f ca="1">IFERROR(OFFSET(INDEX('Data table'!$E$11:$AH$32,MATCH('Individual banks'!$D$2,'Data table'!$C$11:$C$32,0),MATCH(G$5,'Data table'!$P$7:$R$7,0)),0,20),"")</f>
        <v/>
      </c>
      <c r="H10" s="97"/>
      <c r="I10" s="97"/>
      <c r="J10" s="97"/>
      <c r="K10" s="98" t="str">
        <f>IFERROR(INDEX('Data table'!$AH$11:$AH$32,MATCH('Individual banks'!$D$2,'Data table'!$C$11:$C$32,0),1),"")</f>
        <v/>
      </c>
      <c r="L10" s="67" t="str">
        <f>IF(OR(K10=7%,K10=""),"",IF($K$1="ENG","Above the minimal required capital adequacy level","Вищий за мінімальний необхідний рівень достатності капіталу"))</f>
        <v/>
      </c>
      <c r="M10" s="32"/>
      <c r="N10" s="46"/>
      <c r="O10" s="46"/>
    </row>
    <row r="11" spans="1:17" ht="13.2" customHeight="1" x14ac:dyDescent="0.25">
      <c r="B11" s="106" t="str">
        <f>IF($K$1="ENG","Hurdle rate of core capital ratio","Граничне значення Н3")</f>
        <v>Граничне значення Н3</v>
      </c>
      <c r="C11" s="99" t="str">
        <f>IF(C7="","",7%)</f>
        <v/>
      </c>
      <c r="D11" s="99" t="str">
        <f ca="1">IF(D7="","",7%)</f>
        <v/>
      </c>
      <c r="E11" s="99" t="str">
        <f ca="1">IF(E7="","",7%)</f>
        <v/>
      </c>
      <c r="F11" s="99" t="str">
        <f ca="1">IF(F7="","",7%)</f>
        <v/>
      </c>
      <c r="G11" s="99" t="str">
        <f ca="1">IF(G7="","",7%)</f>
        <v/>
      </c>
      <c r="H11" s="99"/>
      <c r="I11" s="99"/>
      <c r="J11" s="99"/>
      <c r="K11" s="101" t="s">
        <v>4</v>
      </c>
      <c r="L11" s="32"/>
      <c r="M11" s="32"/>
      <c r="N11" s="46"/>
      <c r="O11" s="46"/>
    </row>
    <row r="12" spans="1:17" ht="25.2" customHeight="1" x14ac:dyDescent="0.25">
      <c r="A12" s="19"/>
      <c r="B12" s="108" t="str">
        <f>IF($K$1="ENG","Change of core capital ratio relative to bank's data as of 1 Apr 2023, pp","Зміна Н3 до даних банку на 01.04.23, в.п.")</f>
        <v>Зміна Н3 до даних банку на 01.04.23, в.п.</v>
      </c>
      <c r="C12" s="107" t="str">
        <f>IFERROR((C10-$C$10)*100,"")</f>
        <v/>
      </c>
      <c r="D12" s="107" t="str">
        <f ca="1">IFERROR((D10-$C$10)*100,"")</f>
        <v/>
      </c>
      <c r="E12" s="107" t="str">
        <f t="shared" ref="E12:F12" ca="1" si="0">IFERROR((E10-$C$10)*100,"")</f>
        <v/>
      </c>
      <c r="F12" s="107" t="str">
        <f t="shared" ca="1" si="0"/>
        <v/>
      </c>
      <c r="G12" s="107" t="str">
        <f ca="1">IFERROR((G10-$C$10)*100,"")</f>
        <v/>
      </c>
      <c r="H12" s="107"/>
      <c r="I12" s="107"/>
      <c r="J12" s="107"/>
      <c r="K12" s="86" t="s">
        <v>4</v>
      </c>
      <c r="L12" s="32"/>
      <c r="M12" s="32"/>
      <c r="N12" s="46" t="str">
        <f>IFERROR(CONCATENATE(B25,G4),B25)</f>
        <v/>
      </c>
      <c r="O12" s="46"/>
    </row>
    <row r="13" spans="1:17" ht="12.6" customHeight="1" x14ac:dyDescent="0.25">
      <c r="B13" s="109" t="str">
        <f>IF($K$1="ENG","AQR – data of asset quality review and collateral eligibility assessment for bank lending, including adjustments in the bank’s financial statements for the reporting year and extrapolation","AQR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J13" s="6"/>
      <c r="K13" s="6"/>
      <c r="L13" s="6"/>
      <c r="M13" s="6"/>
      <c r="N13" s="6"/>
    </row>
    <row r="14" spans="1:17" ht="9" customHeight="1" x14ac:dyDescent="0.25">
      <c r="B14" s="53" t="str">
        <f>IF($K$1="ENG","","ОК - основний капітал, РК - регулятивний капітал, Н2 - норматив достатності (адекватності) регулятивного капіталу, Н3 - норматив достатності (адекватності) основного капіталу.")</f>
        <v>ОК - основний капітал, РК - регулятивний капітал, Н2 - норматив достатності (адекватності) регулятивного капіталу, Н3 - норматив достатності (адекватності) основного капіталу.</v>
      </c>
      <c r="J14" s="6"/>
      <c r="K14" s="6"/>
      <c r="L14" s="25"/>
      <c r="M14" s="25"/>
      <c r="N14" s="47"/>
      <c r="O14" s="46"/>
    </row>
    <row r="15" spans="1:17" ht="31.8" customHeight="1" x14ac:dyDescent="0.25"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32"/>
      <c r="M15" s="32"/>
      <c r="N15" s="46"/>
      <c r="O15" s="46"/>
    </row>
    <row r="16" spans="1:17" ht="27.6" customHeight="1" x14ac:dyDescent="0.25">
      <c r="C16" s="159" t="str">
        <f>IF($K$1="ENG","Core capital ratio","Норматив достатності основного капіталу Н3")</f>
        <v>Норматив достатності основного капіталу Н3</v>
      </c>
      <c r="D16" s="159"/>
      <c r="E16" s="159"/>
      <c r="F16" s="159"/>
      <c r="G16" s="154" t="str">
        <f>B12</f>
        <v>Зміна Н3 до даних банку на 01.04.23, в.п.</v>
      </c>
      <c r="H16" s="154"/>
      <c r="I16" s="154"/>
      <c r="J16" s="154"/>
      <c r="K16" s="154"/>
      <c r="L16" s="154"/>
      <c r="M16" s="154"/>
      <c r="N16" s="158"/>
      <c r="O16" s="158"/>
      <c r="P16" s="158"/>
      <c r="Q16" s="158"/>
    </row>
    <row r="33" spans="2:2" x14ac:dyDescent="0.25">
      <c r="B33" s="56" t="str">
        <f>IF($K$1="ENG","Hurdle rate of core capital ratio at normative level","Граничне значення Н3 на нормативному рівні")</f>
        <v>Граничне значення Н3 на нормативному рівні</v>
      </c>
    </row>
    <row r="34" spans="2:2" x14ac:dyDescent="0.25">
      <c r="B34" s="56" t="str">
        <f>IF($K$1="ENG","Hurdle rate of core capital ratio under adverse scenario","Граничне значення Н3 за несприятливого сценарію")</f>
        <v>Граничне значення Н3 за несприятливого сценарію</v>
      </c>
    </row>
    <row r="35" spans="2:2" x14ac:dyDescent="0.25">
      <c r="B35" s="60" t="s">
        <v>2</v>
      </c>
    </row>
    <row r="36" spans="2:2" x14ac:dyDescent="0.25">
      <c r="B36" s="60" t="s">
        <v>1</v>
      </c>
    </row>
  </sheetData>
  <mergeCells count="12">
    <mergeCell ref="G16:M16"/>
    <mergeCell ref="K4:K6"/>
    <mergeCell ref="N16:Q16"/>
    <mergeCell ref="C16:F16"/>
    <mergeCell ref="C4:C6"/>
    <mergeCell ref="B15:K15"/>
    <mergeCell ref="B4:B6"/>
    <mergeCell ref="E6:G6"/>
    <mergeCell ref="H6:J6"/>
    <mergeCell ref="E4:G4"/>
    <mergeCell ref="H4:J4"/>
    <mergeCell ref="D4:D6"/>
  </mergeCells>
  <conditionalFormatting sqref="K9">
    <cfRule type="cellIs" dxfId="35" priority="2" operator="equal">
      <formula>0.1</formula>
    </cfRule>
  </conditionalFormatting>
  <conditionalFormatting sqref="K10">
    <cfRule type="cellIs" dxfId="34" priority="1" operator="equal">
      <formula>0.07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Drop Down 10">
              <controlPr defaultSize="0" autoLine="0" autoPict="0">
                <anchor moveWithCells="1">
                  <from>
                    <xdr:col>1</xdr:col>
                    <xdr:colOff>2499360</xdr:colOff>
                    <xdr:row>0</xdr:row>
                    <xdr:rowOff>91440</xdr:rowOff>
                  </from>
                  <to>
                    <xdr:col>4</xdr:col>
                    <xdr:colOff>731520</xdr:colOff>
                    <xdr:row>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Drop Down 15">
              <controlPr defaultSize="0" autoLine="0" autoPict="0">
                <anchor moveWithCells="1">
                  <from>
                    <xdr:col>9</xdr:col>
                    <xdr:colOff>701040</xdr:colOff>
                    <xdr:row>0</xdr:row>
                    <xdr:rowOff>15240</xdr:rowOff>
                  </from>
                  <to>
                    <xdr:col>11</xdr:col>
                    <xdr:colOff>182880</xdr:colOff>
                    <xdr:row>1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2"/>
  <dimension ref="B1:R35"/>
  <sheetViews>
    <sheetView zoomScale="85" zoomScaleNormal="85" workbookViewId="0"/>
  </sheetViews>
  <sheetFormatPr defaultColWidth="8.88671875" defaultRowHeight="13.2" x14ac:dyDescent="0.25"/>
  <cols>
    <col min="1" max="1" width="4" style="1" customWidth="1"/>
    <col min="2" max="2" width="24.44140625" style="1" customWidth="1"/>
    <col min="3" max="3" width="12" style="1" customWidth="1"/>
    <col min="4" max="4" width="12.88671875" style="1" customWidth="1"/>
    <col min="5" max="5" width="11.88671875" style="1" customWidth="1"/>
    <col min="6" max="6" width="12.6640625" style="1" customWidth="1"/>
    <col min="7" max="7" width="13.21875" style="1" customWidth="1"/>
    <col min="8" max="8" width="11.88671875" style="1" customWidth="1"/>
    <col min="9" max="10" width="10.33203125" style="1" customWidth="1"/>
    <col min="11" max="11" width="12.109375" style="1" customWidth="1"/>
    <col min="12" max="12" width="11.88671875" style="1" customWidth="1"/>
    <col min="13" max="14" width="10.33203125" style="1" customWidth="1"/>
    <col min="15" max="18" width="11.6640625" style="1" customWidth="1"/>
    <col min="19" max="19" width="8.88671875" style="1" customWidth="1"/>
    <col min="20" max="16384" width="8.88671875" style="1"/>
  </cols>
  <sheetData>
    <row r="1" spans="2:18" x14ac:dyDescent="0.25">
      <c r="K1" s="52" t="str">
        <f>'Individual banks'!K1</f>
        <v>UA</v>
      </c>
      <c r="L1" s="58" t="str">
        <f>IF($K$1="ENG","Змінити мову тут","Change language here")</f>
        <v>Change language here</v>
      </c>
    </row>
    <row r="2" spans="2:18" x14ac:dyDescent="0.25">
      <c r="B2" s="41" t="str">
        <f>IF($K$1="ENG","Resilience assessment results (compared to 2021 results)","Результати оцінки стійкості банку (порівняння з 2021 роком)")</f>
        <v>Результати оцінки стійкості банку (порівняння з 2021 роком)</v>
      </c>
      <c r="H2" s="1">
        <v>21</v>
      </c>
      <c r="I2" s="60">
        <f>IFERROR(INDEX('Data table'!$C$11:$C$32,H2,1),"")</f>
        <v>0</v>
      </c>
    </row>
    <row r="3" spans="2:18" x14ac:dyDescent="0.25">
      <c r="B3" s="11"/>
      <c r="C3" s="6"/>
      <c r="D3" s="6"/>
      <c r="E3" s="6"/>
      <c r="F3" s="6"/>
      <c r="G3" s="6"/>
      <c r="I3" s="6"/>
      <c r="J3" s="12" t="s">
        <v>0</v>
      </c>
      <c r="K3" s="7"/>
      <c r="L3" s="7"/>
      <c r="M3" s="7"/>
      <c r="N3" s="7"/>
      <c r="O3" s="7"/>
      <c r="P3" s="7"/>
      <c r="Q3" s="7"/>
      <c r="R3" s="7"/>
    </row>
    <row r="4" spans="2:18" ht="18" customHeight="1" x14ac:dyDescent="0.25">
      <c r="B4" s="161" t="str">
        <f>IF($K$1="ENG","Indicator","Показник")</f>
        <v>Показник</v>
      </c>
      <c r="C4" s="161">
        <f>IFERROR(I2,"")</f>
        <v>0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7"/>
      <c r="P4" s="7"/>
      <c r="Q4" s="7"/>
      <c r="R4" s="7"/>
    </row>
    <row r="5" spans="2:18" ht="15.6" customHeight="1" x14ac:dyDescent="0.25">
      <c r="B5" s="161"/>
      <c r="C5" s="161" t="str">
        <f>IF($K$1="ENG","2023 resilience assessment","оцінка стійкості 2023 року")</f>
        <v>оцінка стійкості 2023 року</v>
      </c>
      <c r="D5" s="161"/>
      <c r="E5" s="161"/>
      <c r="F5" s="161"/>
      <c r="G5" s="161" t="str">
        <f>IF($K$1="ENG","2021 stress test","стрес-тестування 2021 року")</f>
        <v>стрес-тестування 2021 року</v>
      </c>
      <c r="H5" s="161"/>
      <c r="I5" s="161"/>
      <c r="J5" s="161"/>
      <c r="K5" s="161"/>
      <c r="L5" s="161"/>
      <c r="M5" s="161"/>
      <c r="N5" s="161"/>
      <c r="O5" s="25"/>
      <c r="P5" s="25"/>
      <c r="Q5" s="7"/>
      <c r="R5" s="7"/>
    </row>
    <row r="6" spans="2:18" ht="36.6" customHeight="1" x14ac:dyDescent="0.25">
      <c r="B6" s="166"/>
      <c r="C6" s="70" t="str">
        <f>'2021 data table'!E6</f>
        <v>ОК, млн грн</v>
      </c>
      <c r="D6" s="70" t="str">
        <f>'2021 data table'!F6</f>
        <v>РК, млн грн</v>
      </c>
      <c r="E6" s="70" t="str">
        <f>'2021 data table'!G6</f>
        <v>Н2</v>
      </c>
      <c r="F6" s="70" t="str">
        <f>'2021 data table'!H6</f>
        <v>Н3</v>
      </c>
      <c r="G6" s="70" t="str">
        <f t="shared" ref="G6:N6" si="0">C6</f>
        <v>ОК, млн грн</v>
      </c>
      <c r="H6" s="70" t="str">
        <f t="shared" si="0"/>
        <v>РК, млн грн</v>
      </c>
      <c r="I6" s="70" t="str">
        <f t="shared" si="0"/>
        <v>Н2</v>
      </c>
      <c r="J6" s="70" t="str">
        <f t="shared" si="0"/>
        <v>Н3</v>
      </c>
      <c r="K6" s="126" t="str">
        <f t="shared" si="0"/>
        <v>ОК, млн грн</v>
      </c>
      <c r="L6" s="126" t="str">
        <f t="shared" si="0"/>
        <v>РК, млн грн</v>
      </c>
      <c r="M6" s="126" t="str">
        <f t="shared" si="0"/>
        <v>Н2</v>
      </c>
      <c r="N6" s="126" t="str">
        <f t="shared" si="0"/>
        <v>Н3</v>
      </c>
      <c r="O6" s="25"/>
      <c r="P6" s="25"/>
      <c r="Q6" s="7"/>
      <c r="R6" s="7"/>
    </row>
    <row r="7" spans="2:18" x14ac:dyDescent="0.25">
      <c r="B7" s="20" t="str">
        <f>'Individual banks'!C4</f>
        <v>Дані банку на 01.04.23</v>
      </c>
      <c r="C7" s="24" t="str">
        <f>IFERROR(INDEX('Data table'!$E$11:$AH$32,MATCH('Comparison with 2021'!$C$4,'Data table'!$C$11:$C$32,0),MATCH('Comparison with 2021'!C$6,'Data table'!$E$6:$I$6,0)),"")</f>
        <v/>
      </c>
      <c r="D7" s="24" t="str">
        <f>IFERROR(INDEX('Data table'!$E$11:$AH$32,MATCH('Comparison with 2021'!$C$4,'Data table'!$C$11:$C$32,0),MATCH('Comparison with 2021'!D$6,'Data table'!$E$6:$I$6,0)),"")</f>
        <v/>
      </c>
      <c r="E7" s="16" t="str">
        <f>IFERROR(INDEX('Data table'!$E$11:$AH$32,MATCH('Comparison with 2021'!$C$4,'Data table'!$C$11:$C$32,0),MATCH('Comparison with 2021'!E$6,'Data table'!$E$6:$I$6,0)),"")</f>
        <v/>
      </c>
      <c r="F7" s="16" t="str">
        <f>IFERROR(INDEX('Data table'!$E$11:$AH$32,MATCH('Comparison with 2021'!$C$4,'Data table'!$C$11:$C$32,0),MATCH('Comparison with 2021'!F$6,'Data table'!$E$6:$I$6,0)),"")</f>
        <v/>
      </c>
      <c r="G7" s="24" t="str">
        <f>IFERROR(INDEX('2021 data table'!$E$10:$AY$39,MATCH('Comparison with 2021'!$C$4,'2021 data table'!$C$10:$C$39,0),MATCH('Comparison with 2021'!G$6,'2021 data table'!$E$6:$I$6,0)),"")</f>
        <v/>
      </c>
      <c r="H7" s="24" t="str">
        <f>IFERROR(INDEX('2021 data table'!$E$10:$AY$39,MATCH('Comparison with 2021'!$C$4,'2021 data table'!$C$10:$C$39,0),MATCH('Comparison with 2021'!H$6,'2021 data table'!$E$6:$I$6,0)),"")</f>
        <v/>
      </c>
      <c r="I7" s="16" t="str">
        <f>IFERROR(INDEX('2021 data table'!$E$10:$AY$39,MATCH('Comparison with 2021'!$C$4,'2021 data table'!$C$10:$C$39,0),MATCH('Comparison with 2021'!I$6,'2021 data table'!$E$6:$I$6,0)),"")</f>
        <v/>
      </c>
      <c r="J7" s="16" t="str">
        <f>IFERROR(INDEX('2021 data table'!$E$10:$AY$39,MATCH('Comparison with 2021'!$C$4,'2021 data table'!$C$10:$C$39,0),MATCH('Comparison with 2021'!J$6,'2021 data table'!$E$6:$I$6,0)),"")</f>
        <v/>
      </c>
      <c r="K7" s="24" t="str">
        <f>IFERROR(INDEX('2021 data table'!$E$10:$AY$39,MATCH('Comparison with 2021'!$C$4,'2021 data table'!$C$10:$C$39,0),MATCH('Comparison with 2021'!K$6,'2021 data table'!$E$6:$I$6,0)),"")</f>
        <v/>
      </c>
      <c r="L7" s="24" t="str">
        <f>IFERROR(INDEX('2021 data table'!$E$10:$AY$39,MATCH('Comparison with 2021'!$C$4,'2021 data table'!$C$10:$C$39,0),MATCH('Comparison with 2021'!L$6,'2021 data table'!$E$6:$I$6,0)),"")</f>
        <v/>
      </c>
      <c r="M7" s="16" t="str">
        <f>IFERROR(INDEX('2021 data table'!$E$10:$AY$39,MATCH('Comparison with 2021'!$C$4,'2021 data table'!$C$10:$C$39,0),MATCH('Comparison with 2021'!M$6,'2021 data table'!$E$6:$I$6,0)),"")</f>
        <v/>
      </c>
      <c r="N7" s="16" t="str">
        <f>IFERROR(INDEX('2021 data table'!$E$10:$AY$39,MATCH('Comparison with 2021'!$C$4,'2021 data table'!$C$10:$C$39,0),MATCH('Comparison with 2021'!N$6,'2021 data table'!$E$6:$I$6,0)),"")</f>
        <v/>
      </c>
      <c r="O7" s="25"/>
      <c r="P7" s="25"/>
      <c r="Q7" s="7"/>
      <c r="R7" s="7"/>
    </row>
    <row r="8" spans="2:18" x14ac:dyDescent="0.25">
      <c r="B8" s="18" t="str">
        <f>'Individual banks'!D4</f>
        <v>AQR на 01.04.23</v>
      </c>
      <c r="C8" s="15" t="str">
        <f ca="1">IFERROR(OFFSET(INDEX('Data table'!$E$11:$AH$32,MATCH('Comparison with 2021'!$C$4,'Data table'!$C$11:$C$32,0),MATCH('Comparison with 2021'!C$6,'Data table'!$J$6:$O$6,0)),0,5),"")</f>
        <v/>
      </c>
      <c r="D8" s="15" t="str">
        <f ca="1">IFERROR(OFFSET(INDEX('Data table'!$E$11:$AH$32,MATCH('Comparison with 2021'!$C$4,'Data table'!$C$11:$C$32,0),MATCH('Comparison with 2021'!D$6,'Data table'!$J$6:$O$6,0)),0,5),"")</f>
        <v/>
      </c>
      <c r="E8" s="13" t="str">
        <f ca="1">IFERROR(OFFSET(INDEX('Data table'!$E$11:$AH$32,MATCH('Comparison with 2021'!$C$4,'Data table'!$C$11:$C$32,0),MATCH('Comparison with 2021'!E$6,'Data table'!$J$6:$O$6,0)),0,5),"")</f>
        <v/>
      </c>
      <c r="F8" s="13" t="str">
        <f ca="1">IFERROR(OFFSET(INDEX('Data table'!$E$11:$AH$32,MATCH('Comparison with 2021'!$C$4,'Data table'!$C$11:$C$32,0),MATCH('Comparison with 2021'!F$6,'Data table'!$J$6:$O$6,0)),0,5),"")</f>
        <v/>
      </c>
      <c r="G8" s="15" t="str">
        <f ca="1">IFERROR(OFFSET(INDEX('2021 data table'!$E$10:$AY$39,MATCH('Comparison with 2021'!$C$4,'2021 data table'!$C$10:$C$39,0),MATCH('Comparison with 2021'!G$6,'2021 data table'!$J$6:$O$6,0)),0,5),"")</f>
        <v/>
      </c>
      <c r="H8" s="15" t="str">
        <f ca="1">IFERROR(OFFSET(INDEX('2021 data table'!$E$10:$AY$39,MATCH('Comparison with 2021'!$C$4,'2021 data table'!$C$10:$C$39,0),MATCH('Comparison with 2021'!H$6,'2021 data table'!$J$6:$O$6,0)),0,5),"")</f>
        <v/>
      </c>
      <c r="I8" s="13" t="str">
        <f ca="1">IFERROR(OFFSET(INDEX('2021 data table'!$E$10:$AY$39,MATCH('Comparison with 2021'!$C$4,'2021 data table'!$C$10:$C$39,0),MATCH('Comparison with 2021'!I$6,'2021 data table'!$J$6:$O$6,0)),0,5),"")</f>
        <v/>
      </c>
      <c r="J8" s="13" t="str">
        <f ca="1">IFERROR(OFFSET(INDEX('2021 data table'!$E$10:$AY$39,MATCH('Comparison with 2021'!$C$4,'2021 data table'!$C$10:$C$39,0),MATCH('Comparison with 2021'!J$6,'2021 data table'!$J$6:$O$6,0)),0,5),"")</f>
        <v/>
      </c>
      <c r="K8" s="15" t="str">
        <f ca="1">IFERROR(OFFSET(INDEX('2021 data table'!$E$10:$AY$39,MATCH('Comparison with 2021'!$C$4,'2021 data table'!$C$10:$C$39,0),MATCH('Comparison with 2021'!K$6,'2021 data table'!$J$6:$O$6,0)),0,5),"")</f>
        <v/>
      </c>
      <c r="L8" s="15" t="str">
        <f ca="1">IFERROR(OFFSET(INDEX('2021 data table'!$E$10:$AY$39,MATCH('Comparison with 2021'!$C$4,'2021 data table'!$C$10:$C$39,0),MATCH('Comparison with 2021'!L$6,'2021 data table'!$J$6:$O$6,0)),0,5),"")</f>
        <v/>
      </c>
      <c r="M8" s="13" t="str">
        <f ca="1">IFERROR(OFFSET(INDEX('2021 data table'!$E$10:$AY$39,MATCH('Comparison with 2021'!$C$4,'2021 data table'!$C$10:$C$39,0),MATCH('Comparison with 2021'!M$6,'2021 data table'!$J$6:$O$6,0)),0,5),"")</f>
        <v/>
      </c>
      <c r="N8" s="13" t="str">
        <f ca="1">IFERROR(OFFSET(INDEX('2021 data table'!$E$10:$AY$39,MATCH('Comparison with 2021'!$C$4,'2021 data table'!$C$10:$C$39,0),MATCH('Comparison with 2021'!N$6,'2021 data table'!$J$6:$O$6,0)),0,5),"")</f>
        <v/>
      </c>
      <c r="O8" s="25"/>
      <c r="P8" s="25"/>
      <c r="Q8" s="7"/>
      <c r="R8" s="7"/>
    </row>
    <row r="9" spans="2:18" ht="13.2" customHeight="1" x14ac:dyDescent="0.25">
      <c r="B9" s="43" t="str">
        <f>'Comparison with group'!B9</f>
        <v>Прогнозний рік</v>
      </c>
      <c r="C9" s="163" t="str">
        <f>'Comparison with group'!C9:O9</f>
        <v>За базовим макроекономічним сценарієм</v>
      </c>
      <c r="D9" s="164"/>
      <c r="E9" s="164"/>
      <c r="F9" s="164"/>
      <c r="G9" s="164"/>
      <c r="H9" s="164"/>
      <c r="I9" s="164"/>
      <c r="J9" s="165"/>
      <c r="K9" s="163" t="s">
        <v>10</v>
      </c>
      <c r="L9" s="164"/>
      <c r="M9" s="164"/>
      <c r="N9" s="164"/>
      <c r="O9" s="25"/>
      <c r="P9" s="25"/>
      <c r="Q9" s="7"/>
      <c r="R9" s="7"/>
    </row>
    <row r="10" spans="2:18" x14ac:dyDescent="0.25">
      <c r="B10" s="35" t="str">
        <f>'2021 data table'!P7</f>
        <v>1-й</v>
      </c>
      <c r="C10" s="15" t="str">
        <f ca="1">IFERROR(OFFSET(INDEX('Data table'!$E$11:$AH$32,MATCH('Comparison with 2021'!$C$4,'Data table'!$C$11:$C$32,0),MATCH($B10,'Data table'!$P$7:$R$7,0)),0,11),"")</f>
        <v/>
      </c>
      <c r="D10" s="15" t="str">
        <f ca="1">IFERROR(OFFSET(INDEX('Data table'!$E$11:$AH$32,MATCH('Comparison with 2021'!$C$4,'Data table'!$C$11:$C$32,0),MATCH($B10,'Data table'!$P$7:$R$7,0)),0,14),"")</f>
        <v/>
      </c>
      <c r="E10" s="13" t="str">
        <f ca="1">IFERROR(OFFSET(INDEX('Data table'!$E$11:$AH$32,MATCH('Comparison with 2021'!$C$4,'Data table'!$C$11:$C$32,0),MATCH($B10,'Data table'!$P$7:$R$7,0)),0,17),"")</f>
        <v/>
      </c>
      <c r="F10" s="13" t="str">
        <f ca="1">IFERROR(OFFSET(INDEX('Data table'!$E$11:$AH$32,MATCH('Comparison with 2021'!$C$4,'Data table'!$C$11:$C$32,0),MATCH($B10,'Data table'!$P$7:$R$7,0)),0,20),"")</f>
        <v/>
      </c>
      <c r="G10" s="15" t="str">
        <f ca="1">IFERROR(OFFSET(INDEX('2021 data table'!$E$10:$AY$39,MATCH('Comparison with 2021'!$C$4,'2021 data table'!$C$10:$C$39,0),MATCH($B10,'2021 data table'!$P$7:$R$7,0)),0,11),"")</f>
        <v/>
      </c>
      <c r="H10" s="15" t="str">
        <f ca="1">IFERROR(OFFSET(INDEX('2021 data table'!$E$10:$AY$39,MATCH('Comparison with 2021'!$C$4,'2021 data table'!$C$10:$C$39,0),MATCH($B10,'2021 data table'!$P$7:$R$7,0)),0,14),"")</f>
        <v/>
      </c>
      <c r="I10" s="13" t="str">
        <f ca="1">IFERROR(OFFSET(INDEX('2021 data table'!$E$10:$AY$39,MATCH('Comparison with 2021'!$C$4,'2021 data table'!$C$10:$C$39,0),MATCH($B10,'2021 data table'!$P$7:$R$7,0)),0,17),"")</f>
        <v/>
      </c>
      <c r="J10" s="13" t="str">
        <f ca="1">IFERROR(OFFSET(INDEX('2021 data table'!$E$10:$AY$39,MATCH('Comparison with 2021'!$C$4,'2021 data table'!$C$10:$C$39,0),MATCH($B10,'2021 data table'!$P$7:$R$7,0)),0,20),"")</f>
        <v/>
      </c>
      <c r="K10" s="15" t="str">
        <f ca="1">IFERROR(OFFSET(INDEX('2021 data table'!$E$10:$AY$39,MATCH('Comparison with 2021'!$C$4,'2021 data table'!$C$10:$C$39,0),MATCH($B10,'2021 data table'!$P$7:$R$7,0)),0,26),"")</f>
        <v/>
      </c>
      <c r="L10" s="15" t="str">
        <f ca="1">IFERROR(OFFSET(INDEX('2021 data table'!$E$10:$AY$39,MATCH('Comparison with 2021'!$C$4,'2021 data table'!$C$10:$C$39,0),MATCH($B10,'2021 data table'!$P$7:$R$7,0)),0,29),"")</f>
        <v/>
      </c>
      <c r="M10" s="13" t="str">
        <f ca="1">IFERROR(OFFSET(INDEX('2021 data table'!$E$10:$AY$39,MATCH('Comparison with 2021'!$C$4,'2021 data table'!$C$10:$C$39,0),MATCH($B10,'2021 data table'!$P$7:$R$7,0)),0,32),"")</f>
        <v/>
      </c>
      <c r="N10" s="13" t="str">
        <f ca="1">IFERROR(OFFSET(INDEX('2021 data table'!$E$10:$AY$39,MATCH('Comparison with 2021'!$C$4,'2021 data table'!$C$10:$C$39,0),MATCH($B10,'2021 data table'!$P$7:$R$7,0)),0,35),"")</f>
        <v/>
      </c>
      <c r="O10" s="25"/>
      <c r="P10" s="25"/>
      <c r="Q10" s="7"/>
      <c r="R10" s="7"/>
    </row>
    <row r="11" spans="2:18" x14ac:dyDescent="0.25">
      <c r="B11" s="35" t="str">
        <f>'2021 data table'!Q7</f>
        <v>2-й</v>
      </c>
      <c r="C11" s="15" t="str">
        <f ca="1">IFERROR(OFFSET(INDEX('Data table'!$E$11:$AH$32,MATCH('Comparison with 2021'!$C$4,'Data table'!$C$11:$C$32,0),MATCH($B11,'Data table'!$P$7:$R$7,0)),0,11),"")</f>
        <v/>
      </c>
      <c r="D11" s="15" t="str">
        <f ca="1">IFERROR(OFFSET(INDEX('Data table'!$E$11:$AH$32,MATCH('Comparison with 2021'!$C$4,'Data table'!$C$11:$C$32,0),MATCH($B11,'Data table'!$P$7:$R$7,0)),0,14),"")</f>
        <v/>
      </c>
      <c r="E11" s="13" t="str">
        <f ca="1">IFERROR(OFFSET(INDEX('Data table'!$E$11:$AH$32,MATCH('Comparison with 2021'!$C$4,'Data table'!$C$11:$C$32,0),MATCH($B11,'Data table'!$P$7:$R$7,0)),0,17),"")</f>
        <v/>
      </c>
      <c r="F11" s="13" t="str">
        <f ca="1">IFERROR(OFFSET(INDEX('Data table'!$E$11:$AH$32,MATCH('Comparison with 2021'!$C$4,'Data table'!$C$11:$C$32,0),MATCH($B11,'Data table'!$P$7:$R$7,0)),0,20),"")</f>
        <v/>
      </c>
      <c r="G11" s="15" t="str">
        <f ca="1">IFERROR(OFFSET(INDEX('2021 data table'!$E$10:$AY$39,MATCH('Comparison with 2021'!$C$4,'2021 data table'!$C$10:$C$39,0),MATCH($B11,'2021 data table'!$P$7:$R$7,0)),0,11),"")</f>
        <v/>
      </c>
      <c r="H11" s="15" t="str">
        <f ca="1">IFERROR(OFFSET(INDEX('2021 data table'!$E$10:$AY$39,MATCH('Comparison with 2021'!$C$4,'2021 data table'!$C$10:$C$39,0),MATCH($B11,'2021 data table'!$P$7:$R$7,0)),0,14),"")</f>
        <v/>
      </c>
      <c r="I11" s="13" t="str">
        <f ca="1">IFERROR(OFFSET(INDEX('2021 data table'!$E$10:$AY$39,MATCH('Comparison with 2021'!$C$4,'2021 data table'!$C$10:$C$39,0),MATCH($B11,'2021 data table'!$P$7:$R$7,0)),0,17),"")</f>
        <v/>
      </c>
      <c r="J11" s="13" t="str">
        <f ca="1">IFERROR(OFFSET(INDEX('2021 data table'!$E$10:$AY$39,MATCH('Comparison with 2021'!$C$4,'2021 data table'!$C$10:$C$39,0),MATCH($B11,'2021 data table'!$P$7:$R$7,0)),0,20),"")</f>
        <v/>
      </c>
      <c r="K11" s="15" t="str">
        <f ca="1">IFERROR(OFFSET(INDEX('2021 data table'!$E$10:$AY$39,MATCH('Comparison with 2021'!$C$4,'2021 data table'!$C$10:$C$39,0),MATCH($B11,'2021 data table'!$P$7:$R$7,0)),0,26),"")</f>
        <v/>
      </c>
      <c r="L11" s="15" t="str">
        <f ca="1">IFERROR(OFFSET(INDEX('2021 data table'!$E$10:$AY$39,MATCH('Comparison with 2021'!$C$4,'2021 data table'!$C$10:$C$39,0),MATCH($B11,'2021 data table'!$P$7:$R$7,0)),0,29),"")</f>
        <v/>
      </c>
      <c r="M11" s="13" t="str">
        <f ca="1">IFERROR(OFFSET(INDEX('2021 data table'!$E$10:$AY$39,MATCH('Comparison with 2021'!$C$4,'2021 data table'!$C$10:$C$39,0),MATCH($B11,'2021 data table'!$P$7:$R$7,0)),0,32),"")</f>
        <v/>
      </c>
      <c r="N11" s="13" t="str">
        <f ca="1">IFERROR(OFFSET(INDEX('2021 data table'!$E$10:$AY$39,MATCH('Comparison with 2021'!$C$4,'2021 data table'!$C$10:$C$39,0),MATCH($B11,'2021 data table'!$P$7:$R$7,0)),0,35),"")</f>
        <v/>
      </c>
      <c r="O11" s="25"/>
      <c r="P11" s="25"/>
      <c r="Q11" s="7"/>
      <c r="R11" s="7"/>
    </row>
    <row r="12" spans="2:18" x14ac:dyDescent="0.25">
      <c r="B12" s="35" t="str">
        <f>'2021 data table'!R7</f>
        <v>3-й</v>
      </c>
      <c r="C12" s="15" t="str">
        <f ca="1">IFERROR(OFFSET(INDEX('Data table'!$E$11:$AH$32,MATCH('Comparison with 2021'!$C$4,'Data table'!$C$11:$C$32,0),MATCH($B12,'Data table'!$P$7:$R$7,0)),0,11),"")</f>
        <v/>
      </c>
      <c r="D12" s="15" t="str">
        <f ca="1">IFERROR(OFFSET(INDEX('Data table'!$E$11:$AH$32,MATCH('Comparison with 2021'!$C$4,'Data table'!$C$11:$C$32,0),MATCH($B12,'Data table'!$P$7:$R$7,0)),0,14),"")</f>
        <v/>
      </c>
      <c r="E12" s="13" t="str">
        <f ca="1">IFERROR(OFFSET(INDEX('Data table'!$E$11:$AH$32,MATCH('Comparison with 2021'!$C$4,'Data table'!$C$11:$C$32,0),MATCH($B12,'Data table'!$P$7:$R$7,0)),0,17),"")</f>
        <v/>
      </c>
      <c r="F12" s="13" t="str">
        <f ca="1">IFERROR(OFFSET(INDEX('Data table'!$E$11:$AH$32,MATCH('Comparison with 2021'!$C$4,'Data table'!$C$11:$C$32,0),MATCH($B12,'Data table'!$P$7:$R$7,0)),0,20),"")</f>
        <v/>
      </c>
      <c r="G12" s="15" t="str">
        <f ca="1">IFERROR(OFFSET(INDEX('2021 data table'!$E$10:$AY$39,MATCH('Comparison with 2021'!$C$4,'2021 data table'!$C$10:$C$39,0),MATCH($B12,'2021 data table'!$P$7:$R$7,0)),0,11),"")</f>
        <v/>
      </c>
      <c r="H12" s="15" t="str">
        <f ca="1">IFERROR(OFFSET(INDEX('2021 data table'!$E$10:$AY$39,MATCH('Comparison with 2021'!$C$4,'2021 data table'!$C$10:$C$39,0),MATCH($B12,'2021 data table'!$P$7:$R$7,0)),0,14),"")</f>
        <v/>
      </c>
      <c r="I12" s="13" t="str">
        <f ca="1">IFERROR(OFFSET(INDEX('2021 data table'!$E$10:$AY$39,MATCH('Comparison with 2021'!$C$4,'2021 data table'!$C$10:$C$39,0),MATCH($B12,'2021 data table'!$P$7:$R$7,0)),0,17),"")</f>
        <v/>
      </c>
      <c r="J12" s="13" t="str">
        <f ca="1">IFERROR(OFFSET(INDEX('2021 data table'!$E$10:$AY$39,MATCH('Comparison with 2021'!$C$4,'2021 data table'!$C$10:$C$39,0),MATCH($B12,'2021 data table'!$P$7:$R$7,0)),0,20),"")</f>
        <v/>
      </c>
      <c r="K12" s="15" t="str">
        <f ca="1">IFERROR(OFFSET(INDEX('2021 data table'!$E$10:$AY$39,MATCH('Comparison with 2021'!$C$4,'2021 data table'!$C$10:$C$39,0),MATCH($B12,'2021 data table'!$P$7:$R$7,0)),0,26),"")</f>
        <v/>
      </c>
      <c r="L12" s="15" t="str">
        <f ca="1">IFERROR(OFFSET(INDEX('2021 data table'!$E$10:$AY$39,MATCH('Comparison with 2021'!$C$4,'2021 data table'!$C$10:$C$39,0),MATCH($B12,'2021 data table'!$P$7:$R$7,0)),0,29),"")</f>
        <v/>
      </c>
      <c r="M12" s="13" t="str">
        <f ca="1">IFERROR(OFFSET(INDEX('2021 data table'!$E$10:$AY$39,MATCH('Comparison with 2021'!$C$4,'2021 data table'!$C$10:$C$39,0),MATCH($B12,'2021 data table'!$P$7:$R$7,0)),0,32),"")</f>
        <v/>
      </c>
      <c r="N12" s="13" t="str">
        <f ca="1">IFERROR(OFFSET(INDEX('2021 data table'!$E$10:$AY$39,MATCH('Comparison with 2021'!$C$4,'2021 data table'!$C$10:$C$39,0),MATCH($B12,'2021 data table'!$P$7:$R$7,0)),0,35),"")</f>
        <v/>
      </c>
      <c r="O12" s="25"/>
      <c r="P12" s="25"/>
      <c r="Q12" s="7"/>
      <c r="R12" s="7"/>
    </row>
    <row r="13" spans="2:18" ht="12" customHeight="1" x14ac:dyDescent="0.25">
      <c r="B13" s="53" t="str">
        <f>'Individual banks'!$B$13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C13" s="42"/>
      <c r="D13" s="42"/>
      <c r="E13" s="7"/>
      <c r="F13" s="7"/>
      <c r="G13" s="25"/>
      <c r="H13" s="25"/>
      <c r="I13" s="7"/>
      <c r="J13" s="7"/>
      <c r="K13" s="25"/>
      <c r="L13" s="25"/>
      <c r="M13" s="7"/>
      <c r="N13" s="7"/>
      <c r="O13" s="25"/>
      <c r="P13" s="25"/>
      <c r="Q13" s="7"/>
      <c r="R13" s="7"/>
    </row>
    <row r="14" spans="2:18" ht="11.4" customHeight="1" x14ac:dyDescent="0.25">
      <c r="B14" s="53" t="str">
        <f>IF($K$1="ENG","","ОК - основний капітал, РК - регулятивний капітал, Н2 - норматив адекватності регулятивного капіталу, Н3 - норматив адекватності основного капіталу.")</f>
        <v>ОК - основний капітал, РК - регулятивний капітал, Н2 - норматив адекватності регулятивного капіталу, Н3 - норматив адекватності основного капіталу.</v>
      </c>
      <c r="C14" s="42"/>
      <c r="D14" s="42"/>
      <c r="E14" s="7"/>
      <c r="J14" s="7"/>
      <c r="K14" s="25"/>
      <c r="L14" s="25"/>
      <c r="M14" s="7"/>
      <c r="N14" s="7"/>
      <c r="O14" s="25"/>
      <c r="P14" s="25"/>
      <c r="Q14" s="7"/>
      <c r="R14" s="7"/>
    </row>
    <row r="15" spans="2:18" ht="23.4" customHeight="1" x14ac:dyDescent="0.25">
      <c r="B15" s="167" t="str">
        <f>IFERROR(IF(OR(COUNTIF($C$4:$R$4,"Альфа-Банк**")&gt;0,COUNTIF($C$4:$R$4,"Укрсоцбанк**")&gt;0,COUNTIF($C$4:$R$4,"Alfa-Bank**")&gt;0,COUNTIF($C$4:$R$4,"Ukrsotsbank**")&gt;0),'2021 data table'!$A$45,""),"")</f>
        <v/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</row>
    <row r="16" spans="2:18" ht="13.2" customHeight="1" x14ac:dyDescent="0.25">
      <c r="B16" s="162" t="str">
        <f>IF($K$1="ENG","Core capital, UAH mln","Основний капітал, млн грн")</f>
        <v>Основний капітал, млн грн</v>
      </c>
      <c r="C16" s="162"/>
      <c r="D16" s="162"/>
      <c r="E16" s="162" t="str">
        <f>IF($K$1="ENG","Core capital ratio","Норматив достатності основного капіталу Н3")</f>
        <v>Норматив достатності основного капіталу Н3</v>
      </c>
      <c r="F16" s="162"/>
      <c r="G16" s="162"/>
      <c r="H16" s="162" t="str">
        <f>IF($K$1="ENG","Regulatory capital, UAH mln","Регулятивний капітал, млн грн")</f>
        <v>Регулятивний капітал, млн грн</v>
      </c>
      <c r="I16" s="162"/>
      <c r="J16" s="162"/>
      <c r="K16" s="162"/>
      <c r="L16" s="162" t="str">
        <f>IF($K$1="ENG","CAR","Норматив достатності регулятивного капіталу Н2")</f>
        <v>Норматив достатності регулятивного капіталу Н2</v>
      </c>
      <c r="M16" s="162"/>
      <c r="N16" s="162"/>
      <c r="O16" s="162"/>
    </row>
    <row r="17" spans="2:15" x14ac:dyDescent="0.25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</row>
    <row r="27" spans="2:15" x14ac:dyDescent="0.25">
      <c r="B27" s="60"/>
    </row>
    <row r="28" spans="2:15" x14ac:dyDescent="0.25">
      <c r="B28" s="60"/>
    </row>
    <row r="29" spans="2:15" x14ac:dyDescent="0.25">
      <c r="B29" s="60"/>
    </row>
    <row r="30" spans="2:15" x14ac:dyDescent="0.25">
      <c r="B30" s="60" t="str">
        <f>CONCATENATE(C9," (",C5,")")</f>
        <v>За базовим макроекономічним сценарієм (оцінка стійкості 2023 року)</v>
      </c>
    </row>
    <row r="31" spans="2:15" x14ac:dyDescent="0.25">
      <c r="B31" s="60" t="e">
        <f>CONCATENATE(#REF!," (",C5,")")</f>
        <v>#REF!</v>
      </c>
    </row>
    <row r="32" spans="2:15" x14ac:dyDescent="0.25">
      <c r="B32" s="60" t="str">
        <f>CONCATENATE(C9," (",G5,")")</f>
        <v>За базовим макроекономічним сценарієм (стрес-тестування 2021 року)</v>
      </c>
    </row>
    <row r="33" spans="2:2" x14ac:dyDescent="0.25">
      <c r="B33" s="60" t="e">
        <f>CONCATENATE(#REF!," (",G5,")")</f>
        <v>#REF!</v>
      </c>
    </row>
    <row r="34" spans="2:2" x14ac:dyDescent="0.25">
      <c r="B34" s="60"/>
    </row>
    <row r="35" spans="2:2" x14ac:dyDescent="0.25">
      <c r="B35" s="60"/>
    </row>
  </sheetData>
  <mergeCells count="11">
    <mergeCell ref="B16:D17"/>
    <mergeCell ref="E16:G17"/>
    <mergeCell ref="C9:J9"/>
    <mergeCell ref="B4:B6"/>
    <mergeCell ref="B15:R15"/>
    <mergeCell ref="H16:K17"/>
    <mergeCell ref="L16:O17"/>
    <mergeCell ref="C5:F5"/>
    <mergeCell ref="K9:N9"/>
    <mergeCell ref="G5:N5"/>
    <mergeCell ref="C4:N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6</xdr:col>
                    <xdr:colOff>53340</xdr:colOff>
                    <xdr:row>0</xdr:row>
                    <xdr:rowOff>152400</xdr:rowOff>
                  </from>
                  <to>
                    <xdr:col>9</xdr:col>
                    <xdr:colOff>160020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5" name="Drop Down 5">
              <controlPr defaultSize="0" autoLine="0" autoPict="0">
                <anchor moveWithCells="1">
                  <from>
                    <xdr:col>9</xdr:col>
                    <xdr:colOff>464820</xdr:colOff>
                    <xdr:row>0</xdr:row>
                    <xdr:rowOff>7620</xdr:rowOff>
                  </from>
                  <to>
                    <xdr:col>11</xdr:col>
                    <xdr:colOff>15240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4"/>
  <dimension ref="A1:S60"/>
  <sheetViews>
    <sheetView zoomScale="85" zoomScaleNormal="85" workbookViewId="0"/>
  </sheetViews>
  <sheetFormatPr defaultColWidth="8.88671875" defaultRowHeight="13.2" x14ac:dyDescent="0.25"/>
  <cols>
    <col min="1" max="1" width="4" style="1" customWidth="1"/>
    <col min="2" max="2" width="25.44140625" style="1" customWidth="1"/>
    <col min="3" max="3" width="12" style="1" customWidth="1"/>
    <col min="4" max="4" width="12.88671875" style="1" customWidth="1"/>
    <col min="5" max="6" width="10.33203125" style="1" customWidth="1"/>
    <col min="7" max="7" width="12" style="1" customWidth="1"/>
    <col min="8" max="8" width="13.44140625" style="1" customWidth="1"/>
    <col min="9" max="10" width="10.33203125" style="1" customWidth="1"/>
    <col min="11" max="11" width="12.109375" style="1" customWidth="1"/>
    <col min="12" max="12" width="11.88671875" style="1" customWidth="1"/>
    <col min="13" max="14" width="10.33203125" style="1" customWidth="1"/>
    <col min="15" max="18" width="11.6640625" style="1" customWidth="1"/>
    <col min="19" max="19" width="8.88671875" style="1" customWidth="1"/>
    <col min="20" max="16384" width="8.88671875" style="1"/>
  </cols>
  <sheetData>
    <row r="1" spans="2:19" x14ac:dyDescent="0.25">
      <c r="R1" s="52" t="str">
        <f>'Individual banks'!K1</f>
        <v>UA</v>
      </c>
      <c r="S1" s="58" t="str">
        <f>IF($R$1="ENG","Змінити мову тут","Change language here")</f>
        <v>Change language here</v>
      </c>
    </row>
    <row r="2" spans="2:19" x14ac:dyDescent="0.25">
      <c r="B2" s="5" t="str">
        <f>IF($R$1="ENG","Resilience assessment results (comparison across banks)","Результати стрес-тестування банку (порівняння банків)")</f>
        <v>Результати стрес-тестування банку (порівняння банків)</v>
      </c>
    </row>
    <row r="3" spans="2:19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 t="s">
        <v>0</v>
      </c>
    </row>
    <row r="4" spans="2:19" ht="23.4" customHeight="1" x14ac:dyDescent="0.25">
      <c r="B4" s="161" t="str">
        <f>IF($R$1="ENG","Indicator","Показник")</f>
        <v>Показник</v>
      </c>
      <c r="C4" s="71">
        <v>21</v>
      </c>
      <c r="D4" s="72">
        <f>IFERROR(INDEX('Data table'!$C$11:$C$32,C4,1),"")</f>
        <v>0</v>
      </c>
      <c r="E4" s="72"/>
      <c r="F4" s="72"/>
      <c r="G4" s="71">
        <v>21</v>
      </c>
      <c r="H4" s="72">
        <f>IFERROR(INDEX('Data table'!$C$11:$C$32,G4,1),"")</f>
        <v>0</v>
      </c>
      <c r="I4" s="72"/>
      <c r="J4" s="72"/>
      <c r="K4" s="71">
        <v>21</v>
      </c>
      <c r="L4" s="72">
        <f>IFERROR(INDEX('Data table'!$C$11:$C$32,K4,1),"")</f>
        <v>0</v>
      </c>
      <c r="M4" s="72"/>
      <c r="N4" s="72"/>
      <c r="O4" s="71">
        <v>21</v>
      </c>
      <c r="P4" s="72">
        <f>IFERROR(INDEX('Data table'!$C$11:$C$32,O4,1),"")</f>
        <v>0</v>
      </c>
      <c r="Q4" s="72"/>
      <c r="R4" s="72"/>
    </row>
    <row r="5" spans="2:19" ht="36.6" customHeight="1" x14ac:dyDescent="0.25">
      <c r="B5" s="166"/>
      <c r="C5" s="121" t="str">
        <f>'Data table'!E6</f>
        <v>ОК, млн грн</v>
      </c>
      <c r="D5" s="121" t="str">
        <f>'Data table'!F6</f>
        <v>РК, млн грн</v>
      </c>
      <c r="E5" s="70" t="str">
        <f>'Data table'!G6</f>
        <v>Н2</v>
      </c>
      <c r="F5" s="70" t="str">
        <f>'Data table'!H6</f>
        <v>Н3</v>
      </c>
      <c r="G5" s="70" t="str">
        <f t="shared" ref="G5:R5" si="0">C5</f>
        <v>ОК, млн грн</v>
      </c>
      <c r="H5" s="70" t="str">
        <f t="shared" si="0"/>
        <v>РК, млн грн</v>
      </c>
      <c r="I5" s="70" t="str">
        <f t="shared" si="0"/>
        <v>Н2</v>
      </c>
      <c r="J5" s="70" t="str">
        <f t="shared" si="0"/>
        <v>Н3</v>
      </c>
      <c r="K5" s="70" t="str">
        <f t="shared" si="0"/>
        <v>ОК, млн грн</v>
      </c>
      <c r="L5" s="70" t="str">
        <f t="shared" si="0"/>
        <v>РК, млн грн</v>
      </c>
      <c r="M5" s="70" t="str">
        <f t="shared" si="0"/>
        <v>Н2</v>
      </c>
      <c r="N5" s="70" t="str">
        <f t="shared" si="0"/>
        <v>Н3</v>
      </c>
      <c r="O5" s="70" t="str">
        <f t="shared" si="0"/>
        <v>ОК, млн грн</v>
      </c>
      <c r="P5" s="70" t="str">
        <f t="shared" si="0"/>
        <v>РК, млн грн</v>
      </c>
      <c r="Q5" s="70" t="str">
        <f t="shared" si="0"/>
        <v>Н2</v>
      </c>
      <c r="R5" s="70" t="str">
        <f t="shared" si="0"/>
        <v>Н3</v>
      </c>
    </row>
    <row r="6" spans="2:19" x14ac:dyDescent="0.25">
      <c r="B6" s="20" t="str">
        <f>'Individual banks'!C4</f>
        <v>Дані банку на 01.04.23</v>
      </c>
      <c r="C6" s="24" t="str">
        <f>IFERROR(INDEX('Data table'!$E$11:$AH$32,MATCH('Comparison of banks'!$D$4,'Data table'!$C$11:$C$32,0),MATCH('Comparison of banks'!C$5,'Data table'!$E$6:$I$6,0)),"")</f>
        <v/>
      </c>
      <c r="D6" s="24" t="str">
        <f>IFERROR(INDEX('Data table'!$E$11:$AH$32,MATCH('Comparison of banks'!$D$4,'Data table'!$C$11:$C$32,0),MATCH('Comparison of banks'!D$5,'Data table'!$E$6:$I$6,0)),"")</f>
        <v/>
      </c>
      <c r="E6" s="16" t="str">
        <f>IFERROR(INDEX('Data table'!$E$11:$AH$32,MATCH('Comparison of banks'!$D$4,'Data table'!$C$11:$C$32,0),MATCH('Comparison of banks'!E$5,'Data table'!$E$6:$I$6,0)),"")</f>
        <v/>
      </c>
      <c r="F6" s="16" t="str">
        <f>IFERROR(INDEX('Data table'!$E$11:$AH$32,MATCH('Comparison of banks'!$D$4,'Data table'!$C$11:$C$32,0),MATCH('Comparison of banks'!F$5,'Data table'!$E$6:$I$6,0)),"")</f>
        <v/>
      </c>
      <c r="G6" s="24" t="str">
        <f>IFERROR(INDEX('Data table'!$E$11:$AH$32,MATCH('Comparison of banks'!$H$4,'Data table'!$C$11:$C$32,0),MATCH('Comparison of banks'!G$5,'Data table'!$E$6:$I$6,0)),"")</f>
        <v/>
      </c>
      <c r="H6" s="24" t="str">
        <f>IFERROR(INDEX('Data table'!$E$11:$AH$32,MATCH('Comparison of banks'!$H$4,'Data table'!$C$11:$C$32,0),MATCH('Comparison of banks'!H$5,'Data table'!$E$6:$I$6,0)),"")</f>
        <v/>
      </c>
      <c r="I6" s="16" t="str">
        <f>IFERROR(INDEX('Data table'!$E$11:$AH$32,MATCH('Comparison of banks'!$H$4,'Data table'!$C$11:$C$32,0),MATCH('Comparison of banks'!I$5,'Data table'!$E$6:$I$6,0)),"")</f>
        <v/>
      </c>
      <c r="J6" s="16" t="str">
        <f>IFERROR(INDEX('Data table'!$E$11:$AH$32,MATCH('Comparison of banks'!$H$4,'Data table'!$C$11:$C$32,0),MATCH('Comparison of banks'!J$5,'Data table'!$E$6:$I$6,0)),"")</f>
        <v/>
      </c>
      <c r="K6" s="24" t="str">
        <f>IFERROR(INDEX('Data table'!$E$11:$AH$32,MATCH('Comparison of banks'!$L$4,'Data table'!$C$11:$C$32,0),MATCH('Comparison of banks'!K$5,'Data table'!$E$6:$I$6,0)),"")</f>
        <v/>
      </c>
      <c r="L6" s="24" t="str">
        <f>IFERROR(INDEX('Data table'!$E$11:$AH$32,MATCH('Comparison of banks'!$L$4,'Data table'!$C$11:$C$32,0),MATCH('Comparison of banks'!L$5,'Data table'!$E$6:$I$6,0)),"")</f>
        <v/>
      </c>
      <c r="M6" s="16" t="str">
        <f>IFERROR(INDEX('Data table'!$E$11:$AH$32,MATCH('Comparison of banks'!$L$4,'Data table'!$C$11:$C$32,0),MATCH('Comparison of banks'!M$5,'Data table'!$E$6:$I$6,0)),"")</f>
        <v/>
      </c>
      <c r="N6" s="16" t="str">
        <f>IFERROR(INDEX('Data table'!$E$11:$AH$32,MATCH('Comparison of banks'!$L$4,'Data table'!$C$11:$C$32,0),MATCH('Comparison of banks'!N$5,'Data table'!$E$6:$I$6,0)),"")</f>
        <v/>
      </c>
      <c r="O6" s="24" t="str">
        <f>IFERROR(INDEX('Data table'!$E$11:$AH$32,MATCH('Comparison of banks'!$P$4,'Data table'!$C$11:$C$32,0),MATCH('Comparison of banks'!O$5,'Data table'!$E$6:$I$6,0)),"")</f>
        <v/>
      </c>
      <c r="P6" s="24" t="str">
        <f>IFERROR(INDEX('Data table'!$E$11:$AH$32,MATCH('Comparison of banks'!$P$4,'Data table'!$C$11:$C$32,0),MATCH('Comparison of banks'!P$5,'Data table'!$E$6:$I$6,0)),"")</f>
        <v/>
      </c>
      <c r="Q6" s="16" t="str">
        <f>IFERROR(INDEX('Data table'!$E$11:$AH$32,MATCH('Comparison of banks'!$P$4,'Data table'!$C$11:$C$32,0),MATCH('Comparison of banks'!Q$5,'Data table'!$E$6:$I$6,0)),"")</f>
        <v/>
      </c>
      <c r="R6" s="16" t="str">
        <f>IFERROR(INDEX('Data table'!$E$11:$AH$32,MATCH('Comparison of banks'!$P$4,'Data table'!$C$11:$C$32,0),MATCH('Comparison of banks'!R$5,'Data table'!$E$6:$I$6,0)),"")</f>
        <v/>
      </c>
    </row>
    <row r="7" spans="2:19" x14ac:dyDescent="0.25">
      <c r="B7" s="18" t="str">
        <f>'Individual banks'!D4</f>
        <v>AQR на 01.04.23</v>
      </c>
      <c r="C7" s="15" t="str">
        <f ca="1">IFERROR(OFFSET(INDEX('Data table'!$E$11:$AH$32,MATCH('Comparison of banks'!$D$4,'Data table'!$C$11:$C$32,0),MATCH('Comparison of banks'!C$5,'Data table'!$J$6:$O$6,0)),0,5),"")</f>
        <v/>
      </c>
      <c r="D7" s="15" t="str">
        <f ca="1">IFERROR(OFFSET(INDEX('Data table'!$E$11:$AH$32,MATCH('Comparison of banks'!$D$4,'Data table'!$C$11:$C$32,0),MATCH('Comparison of banks'!D$5,'Data table'!$J$6:$O$6,0)),0,5),"")</f>
        <v/>
      </c>
      <c r="E7" s="13" t="str">
        <f ca="1">IFERROR(OFFSET(INDEX('Data table'!$E$11:$AH$32,MATCH('Comparison of banks'!$D$4,'Data table'!$C$11:$C$32,0),MATCH('Comparison of banks'!E$5,'Data table'!$J$6:$O$6,0)),0,5),"")</f>
        <v/>
      </c>
      <c r="F7" s="13" t="str">
        <f ca="1">IFERROR(OFFSET(INDEX('Data table'!$E$11:$AH$32,MATCH('Comparison of banks'!$D$4,'Data table'!$C$11:$C$32,0),MATCH('Comparison of banks'!F$5,'Data table'!$J$6:$O$6,0)),0,5),"")</f>
        <v/>
      </c>
      <c r="G7" s="15" t="str">
        <f ca="1">IFERROR(OFFSET(INDEX('Data table'!$E$11:$AH$32,MATCH('Comparison of banks'!$H$4,'Data table'!$C$11:$C$32,0),MATCH('Comparison of banks'!G$5,'Data table'!$J$6:$O$6,0)),0,5),"")</f>
        <v/>
      </c>
      <c r="H7" s="15" t="str">
        <f ca="1">IFERROR(OFFSET(INDEX('Data table'!$E$11:$AH$32,MATCH('Comparison of banks'!$H$4,'Data table'!$C$11:$C$32,0),MATCH('Comparison of banks'!H$5,'Data table'!$J$6:$O$6,0)),0,5),"")</f>
        <v/>
      </c>
      <c r="I7" s="13" t="str">
        <f ca="1">IFERROR(OFFSET(INDEX('Data table'!$E$11:$AH$32,MATCH('Comparison of banks'!$H$4,'Data table'!$C$11:$C$32,0),MATCH('Comparison of banks'!I$5,'Data table'!$J$6:$O$6,0)),0,5),"")</f>
        <v/>
      </c>
      <c r="J7" s="13" t="str">
        <f ca="1">IFERROR(OFFSET(INDEX('Data table'!$E$11:$AH$32,MATCH('Comparison of banks'!$H$4,'Data table'!$C$11:$C$32,0),MATCH('Comparison of banks'!J$5,'Data table'!$J$6:$O$6,0)),0,5),"")</f>
        <v/>
      </c>
      <c r="K7" s="15" t="str">
        <f ca="1">IFERROR(OFFSET(INDEX('Data table'!$E$11:$AH$32,MATCH('Comparison of banks'!$L$4,'Data table'!$C$11:$C$32,0),MATCH('Comparison of banks'!K$5,'Data table'!$J$6:$O$6,0)),0,5),"")</f>
        <v/>
      </c>
      <c r="L7" s="15" t="str">
        <f ca="1">IFERROR(OFFSET(INDEX('Data table'!$E$11:$AH$32,MATCH('Comparison of banks'!$L$4,'Data table'!$C$11:$C$32,0),MATCH('Comparison of banks'!L$5,'Data table'!$J$6:$O$6,0)),0,5),"")</f>
        <v/>
      </c>
      <c r="M7" s="13" t="str">
        <f ca="1">IFERROR(OFFSET(INDEX('Data table'!$E$11:$AH$32,MATCH('Comparison of banks'!$L$4,'Data table'!$C$11:$C$32,0),MATCH('Comparison of banks'!M$5,'Data table'!$J$6:$O$6,0)),0,5),"")</f>
        <v/>
      </c>
      <c r="N7" s="13" t="str">
        <f ca="1">IFERROR(OFFSET(INDEX('Data table'!$E$11:$AH$32,MATCH('Comparison of banks'!$L$4,'Data table'!$C$11:$C$32,0),MATCH('Comparison of banks'!N$5,'Data table'!$J$6:$O$6,0)),0,5),"")</f>
        <v/>
      </c>
      <c r="O7" s="15" t="str">
        <f ca="1">IFERROR(OFFSET(INDEX('Data table'!$E$11:$AH$32,MATCH('Comparison of banks'!$P$4,'Data table'!$C$11:$C$32,0),MATCH('Comparison of banks'!O$5,'Data table'!$J$6:$O$6,0)),0,5),"")</f>
        <v/>
      </c>
      <c r="P7" s="15" t="str">
        <f ca="1">IFERROR(OFFSET(INDEX('Data table'!$E$11:$AH$32,MATCH('Comparison of banks'!$P$4,'Data table'!$C$11:$C$32,0),MATCH('Comparison of banks'!P$5,'Data table'!$J$6:$O$6,0)),0,5),"")</f>
        <v/>
      </c>
      <c r="Q7" s="13" t="str">
        <f ca="1">IFERROR(OFFSET(INDEX('Data table'!$E$11:$AH$32,MATCH('Comparison of banks'!$P$4,'Data table'!$C$11:$C$32,0),MATCH('Comparison of banks'!Q$5,'Data table'!$J$6:$O$6,0)),0,5),"")</f>
        <v/>
      </c>
      <c r="R7" s="13" t="str">
        <f ca="1">IFERROR(OFFSET(INDEX('Data table'!$E$11:$AH$32,MATCH('Comparison of banks'!$P$4,'Data table'!$C$11:$C$32,0),MATCH('Comparison of banks'!R$5,'Data table'!$J$6:$O$6,0)),0,5),"")</f>
        <v/>
      </c>
    </row>
    <row r="8" spans="2:19" ht="13.2" customHeight="1" x14ac:dyDescent="0.25">
      <c r="B8" s="43" t="str">
        <f>'Comparison with group'!B9</f>
        <v>Прогнозний рік</v>
      </c>
      <c r="C8" s="163" t="str">
        <f>'Comparison with group'!C9:O9</f>
        <v>За базовим макроекономічним сценарієм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5"/>
    </row>
    <row r="9" spans="2:19" x14ac:dyDescent="0.25">
      <c r="B9" s="35" t="str">
        <f>'2021 data table'!P7</f>
        <v>1-й</v>
      </c>
      <c r="C9" s="15" t="str">
        <f ca="1">IFERROR(OFFSET(INDEX('Data table'!$E$11:$AH$32,MATCH('Comparison of banks'!$D$4,'Data table'!$C$11:$C$32,0),MATCH($B9,'Data table'!$P$7:$R$7,0)),0,11),"")</f>
        <v/>
      </c>
      <c r="D9" s="15" t="str">
        <f ca="1">IFERROR(OFFSET(INDEX('Data table'!$E$11:$AH$32,MATCH('Comparison of banks'!$D$4,'Data table'!$C$11:$C$32,0),MATCH($B9,'Data table'!$P$7:$R$7,0)),0,14),"")</f>
        <v/>
      </c>
      <c r="E9" s="13" t="str">
        <f ca="1">IFERROR(OFFSET(INDEX('Data table'!$E$11:$AH$32,MATCH('Comparison of banks'!$D$4,'Data table'!$C$11:$C$32,0),MATCH($B9,'Data table'!$P$7:$R$7,0)),0,17),"")</f>
        <v/>
      </c>
      <c r="F9" s="13" t="str">
        <f ca="1">IFERROR(OFFSET(INDEX('Data table'!$E$11:$AH$32,MATCH('Comparison of banks'!$D$4,'Data table'!$C$11:$C$32,0),MATCH($B9,'Data table'!$P$7:$R$7,0)),0,20),"")</f>
        <v/>
      </c>
      <c r="G9" s="15" t="str">
        <f ca="1">IFERROR(OFFSET(INDEX('Data table'!$E$11:$AH$32,MATCH('Comparison of banks'!$H$4,'Data table'!$C$11:$C$32,0),MATCH($B9,'Data table'!$P$7:$R$7,0)),0,11),"")</f>
        <v/>
      </c>
      <c r="H9" s="15" t="str">
        <f ca="1">IFERROR(OFFSET(INDEX('Data table'!$E$11:$AH$32,MATCH('Comparison of banks'!$H$4,'Data table'!$C$11:$C$32,0),MATCH($B9,'Data table'!$P$7:$R$7,0)),0,14),"")</f>
        <v/>
      </c>
      <c r="I9" s="13" t="str">
        <f ca="1">IFERROR(OFFSET(INDEX('Data table'!$E$11:$AH$32,MATCH('Comparison of banks'!$H$4,'Data table'!$C$11:$C$32,0),MATCH($B9,'Data table'!$P$7:$R$7,0)),0,17),"")</f>
        <v/>
      </c>
      <c r="J9" s="13" t="str">
        <f ca="1">IFERROR(OFFSET(INDEX('Data table'!$E$11:$AH$32,MATCH('Comparison of banks'!$H$4,'Data table'!$C$11:$C$32,0),MATCH($B9,'Data table'!$P$7:$R$7,0)),0,20),"")</f>
        <v/>
      </c>
      <c r="K9" s="15" t="str">
        <f ca="1">IFERROR(OFFSET(INDEX('Data table'!$E$11:$AH$32,MATCH('Comparison of banks'!$L$4,'Data table'!$C$11:$C$32,0),MATCH($B9,'Data table'!$P$7:$R$7,0)),0,11),"")</f>
        <v/>
      </c>
      <c r="L9" s="15" t="str">
        <f ca="1">IFERROR(OFFSET(INDEX('Data table'!$E$11:$AH$32,MATCH('Comparison of banks'!$L$4,'Data table'!$C$11:$C$32,0),MATCH($B9,'Data table'!$P$7:$R$7,0)),0,14),"")</f>
        <v/>
      </c>
      <c r="M9" s="13" t="str">
        <f ca="1">IFERROR(OFFSET(INDEX('Data table'!$E$11:$AH$32,MATCH('Comparison of banks'!$L$4,'Data table'!$C$11:$C$32,0),MATCH($B9,'Data table'!$P$7:$R$7,0)),0,17),"")</f>
        <v/>
      </c>
      <c r="N9" s="13" t="str">
        <f ca="1">IFERROR(OFFSET(INDEX('Data table'!$E$11:$AH$32,MATCH('Comparison of banks'!$L$4,'Data table'!$C$11:$C$32,0),MATCH($B9,'Data table'!$P$7:$R$7,0)),0,20),"")</f>
        <v/>
      </c>
      <c r="O9" s="15" t="str">
        <f ca="1">IFERROR(OFFSET(INDEX('Data table'!$E$11:$AH$32,MATCH('Comparison of banks'!$P$4,'Data table'!$C$11:$C$32,0),MATCH($B9,'Data table'!$P$7:$R$7,0)),0,11),"")</f>
        <v/>
      </c>
      <c r="P9" s="15" t="str">
        <f ca="1">IFERROR(OFFSET(INDEX('Data table'!$E$11:$AH$32,MATCH('Comparison of banks'!$P$4,'Data table'!$C$11:$C$32,0),MATCH($B9,'Data table'!$P$7:$R$7,0)),0,14),"")</f>
        <v/>
      </c>
      <c r="Q9" s="13" t="str">
        <f ca="1">IFERROR(OFFSET(INDEX('Data table'!$E$11:$AH$32,MATCH('Comparison of banks'!$P$4,'Data table'!$C$11:$C$32,0),MATCH($B9,'Data table'!$P$7:$R$7,0)),0,17),"")</f>
        <v/>
      </c>
      <c r="R9" s="13" t="str">
        <f ca="1">IFERROR(OFFSET(INDEX('Data table'!$E$11:$AH$32,MATCH('Comparison of banks'!$P$4,'Data table'!$C$11:$C$32,0),MATCH($B9,'Data table'!$P$7:$R$7,0)),0,20),"")</f>
        <v/>
      </c>
    </row>
    <row r="10" spans="2:19" x14ac:dyDescent="0.25">
      <c r="B10" s="35" t="str">
        <f>'2021 data table'!Q7</f>
        <v>2-й</v>
      </c>
      <c r="C10" s="15" t="str">
        <f ca="1">IFERROR(OFFSET(INDEX('Data table'!$E$11:$AH$32,MATCH('Comparison of banks'!$D$4,'Data table'!$C$11:$C$32,0),MATCH($B10,'Data table'!$P$7:$R$7,0)),0,11),"")</f>
        <v/>
      </c>
      <c r="D10" s="15" t="str">
        <f ca="1">IFERROR(OFFSET(INDEX('Data table'!$E$11:$AH$32,MATCH('Comparison of banks'!$D$4,'Data table'!$C$11:$C$32,0),MATCH($B10,'Data table'!$P$7:$R$7,0)),0,14),"")</f>
        <v/>
      </c>
      <c r="E10" s="13" t="str">
        <f ca="1">IFERROR(OFFSET(INDEX('Data table'!$E$11:$AH$32,MATCH('Comparison of banks'!$D$4,'Data table'!$C$11:$C$32,0),MATCH($B10,'Data table'!$P$7:$R$7,0)),0,17),"")</f>
        <v/>
      </c>
      <c r="F10" s="13" t="str">
        <f ca="1">IFERROR(OFFSET(INDEX('Data table'!$E$11:$AH$32,MATCH('Comparison of banks'!$D$4,'Data table'!$C$11:$C$32,0),MATCH($B10,'Data table'!$P$7:$R$7,0)),0,20),"")</f>
        <v/>
      </c>
      <c r="G10" s="15" t="str">
        <f ca="1">IFERROR(OFFSET(INDEX('Data table'!$E$11:$AH$32,MATCH('Comparison of banks'!$H$4,'Data table'!$C$11:$C$32,0),MATCH($B10,'Data table'!$P$7:$R$7,0)),0,11),"")</f>
        <v/>
      </c>
      <c r="H10" s="15" t="str">
        <f ca="1">IFERROR(OFFSET(INDEX('Data table'!$E$11:$AH$32,MATCH('Comparison of banks'!$H$4,'Data table'!$C$11:$C$32,0),MATCH($B10,'Data table'!$P$7:$R$7,0)),0,14),"")</f>
        <v/>
      </c>
      <c r="I10" s="13" t="str">
        <f ca="1">IFERROR(OFFSET(INDEX('Data table'!$E$11:$AH$32,MATCH('Comparison of banks'!$H$4,'Data table'!$C$11:$C$32,0),MATCH($B10,'Data table'!$P$7:$R$7,0)),0,17),"")</f>
        <v/>
      </c>
      <c r="J10" s="13" t="str">
        <f ca="1">IFERROR(OFFSET(INDEX('Data table'!$E$11:$AH$32,MATCH('Comparison of banks'!$H$4,'Data table'!$C$11:$C$32,0),MATCH($B10,'Data table'!$P$7:$R$7,0)),0,20),"")</f>
        <v/>
      </c>
      <c r="K10" s="15" t="str">
        <f ca="1">IFERROR(OFFSET(INDEX('Data table'!$E$11:$AH$32,MATCH('Comparison of banks'!$L$4,'Data table'!$C$11:$C$32,0),MATCH($B10,'Data table'!$P$7:$R$7,0)),0,11),"")</f>
        <v/>
      </c>
      <c r="L10" s="15" t="str">
        <f ca="1">IFERROR(OFFSET(INDEX('Data table'!$E$11:$AH$32,MATCH('Comparison of banks'!$L$4,'Data table'!$C$11:$C$32,0),MATCH($B10,'Data table'!$P$7:$R$7,0)),0,14),"")</f>
        <v/>
      </c>
      <c r="M10" s="13" t="str">
        <f ca="1">IFERROR(OFFSET(INDEX('Data table'!$E$11:$AH$32,MATCH('Comparison of banks'!$L$4,'Data table'!$C$11:$C$32,0),MATCH($B10,'Data table'!$P$7:$R$7,0)),0,17),"")</f>
        <v/>
      </c>
      <c r="N10" s="13" t="str">
        <f ca="1">IFERROR(OFFSET(INDEX('Data table'!$E$11:$AH$32,MATCH('Comparison of banks'!$L$4,'Data table'!$C$11:$C$32,0),MATCH($B10,'Data table'!$P$7:$R$7,0)),0,20),"")</f>
        <v/>
      </c>
      <c r="O10" s="15" t="str">
        <f ca="1">IFERROR(OFFSET(INDEX('Data table'!$E$11:$AH$32,MATCH('Comparison of banks'!$P$4,'Data table'!$C$11:$C$32,0),MATCH($B10,'Data table'!$P$7:$R$7,0)),0,11),"")</f>
        <v/>
      </c>
      <c r="P10" s="15" t="str">
        <f ca="1">IFERROR(OFFSET(INDEX('Data table'!$E$11:$AH$32,MATCH('Comparison of banks'!$P$4,'Data table'!$C$11:$C$32,0),MATCH($B10,'Data table'!$P$7:$R$7,0)),0,14),"")</f>
        <v/>
      </c>
      <c r="Q10" s="13" t="str">
        <f ca="1">IFERROR(OFFSET(INDEX('Data table'!$E$11:$AH$32,MATCH('Comparison of banks'!$P$4,'Data table'!$C$11:$C$32,0),MATCH($B10,'Data table'!$P$7:$R$7,0)),0,17),"")</f>
        <v/>
      </c>
      <c r="R10" s="13" t="str">
        <f ca="1">IFERROR(OFFSET(INDEX('Data table'!$E$11:$AH$32,MATCH('Comparison of banks'!$P$4,'Data table'!$C$11:$C$32,0),MATCH($B10,'Data table'!$P$7:$R$7,0)),0,20),"")</f>
        <v/>
      </c>
    </row>
    <row r="11" spans="2:19" x14ac:dyDescent="0.25">
      <c r="B11" s="35" t="str">
        <f>'2021 data table'!R7</f>
        <v>3-й</v>
      </c>
      <c r="C11" s="15" t="str">
        <f ca="1">IFERROR(OFFSET(INDEX('Data table'!$E$11:$AH$32,MATCH('Comparison of banks'!$D$4,'Data table'!$C$11:$C$32,0),MATCH($B11,'Data table'!$P$7:$R$7,0)),0,11),"")</f>
        <v/>
      </c>
      <c r="D11" s="15" t="str">
        <f ca="1">IFERROR(OFFSET(INDEX('Data table'!$E$11:$AH$32,MATCH('Comparison of banks'!$D$4,'Data table'!$C$11:$C$32,0),MATCH($B11,'Data table'!$P$7:$R$7,0)),0,14),"")</f>
        <v/>
      </c>
      <c r="E11" s="13" t="str">
        <f ca="1">IFERROR(OFFSET(INDEX('Data table'!$E$11:$AH$32,MATCH('Comparison of banks'!$D$4,'Data table'!$C$11:$C$32,0),MATCH($B11,'Data table'!$P$7:$R$7,0)),0,17),"")</f>
        <v/>
      </c>
      <c r="F11" s="13" t="str">
        <f ca="1">IFERROR(OFFSET(INDEX('Data table'!$E$11:$AH$32,MATCH('Comparison of banks'!$D$4,'Data table'!$C$11:$C$32,0),MATCH($B11,'Data table'!$P$7:$R$7,0)),0,20),"")</f>
        <v/>
      </c>
      <c r="G11" s="15" t="str">
        <f ca="1">IFERROR(OFFSET(INDEX('Data table'!$E$11:$AH$32,MATCH('Comparison of banks'!$H$4,'Data table'!$C$11:$C$32,0),MATCH($B11,'Data table'!$P$7:$R$7,0)),0,11),"")</f>
        <v/>
      </c>
      <c r="H11" s="15" t="str">
        <f ca="1">IFERROR(OFFSET(INDEX('Data table'!$E$11:$AH$32,MATCH('Comparison of banks'!$H$4,'Data table'!$C$11:$C$32,0),MATCH($B11,'Data table'!$P$7:$R$7,0)),0,14),"")</f>
        <v/>
      </c>
      <c r="I11" s="13" t="str">
        <f ca="1">IFERROR(OFFSET(INDEX('Data table'!$E$11:$AH$32,MATCH('Comparison of banks'!$H$4,'Data table'!$C$11:$C$32,0),MATCH($B11,'Data table'!$P$7:$R$7,0)),0,17),"")</f>
        <v/>
      </c>
      <c r="J11" s="13" t="str">
        <f ca="1">IFERROR(OFFSET(INDEX('Data table'!$E$11:$AH$32,MATCH('Comparison of banks'!$H$4,'Data table'!$C$11:$C$32,0),MATCH($B11,'Data table'!$P$7:$R$7,0)),0,20),"")</f>
        <v/>
      </c>
      <c r="K11" s="15" t="str">
        <f ca="1">IFERROR(OFFSET(INDEX('Data table'!$E$11:$AH$32,MATCH('Comparison of banks'!$L$4,'Data table'!$C$11:$C$32,0),MATCH($B11,'Data table'!$P$7:$R$7,0)),0,11),"")</f>
        <v/>
      </c>
      <c r="L11" s="15" t="str">
        <f ca="1">IFERROR(OFFSET(INDEX('Data table'!$E$11:$AH$32,MATCH('Comparison of banks'!$L$4,'Data table'!$C$11:$C$32,0),MATCH($B11,'Data table'!$P$7:$R$7,0)),0,14),"")</f>
        <v/>
      </c>
      <c r="M11" s="13" t="str">
        <f ca="1">IFERROR(OFFSET(INDEX('Data table'!$E$11:$AH$32,MATCH('Comparison of banks'!$L$4,'Data table'!$C$11:$C$32,0),MATCH($B11,'Data table'!$P$7:$R$7,0)),0,17),"")</f>
        <v/>
      </c>
      <c r="N11" s="13" t="str">
        <f ca="1">IFERROR(OFFSET(INDEX('Data table'!$E$11:$AH$32,MATCH('Comparison of banks'!$L$4,'Data table'!$C$11:$C$32,0),MATCH($B11,'Data table'!$P$7:$R$7,0)),0,20),"")</f>
        <v/>
      </c>
      <c r="O11" s="15" t="str">
        <f ca="1">IFERROR(OFFSET(INDEX('Data table'!$E$11:$AH$32,MATCH('Comparison of banks'!$P$4,'Data table'!$C$11:$C$32,0),MATCH($B11,'Data table'!$P$7:$R$7,0)),0,11),"")</f>
        <v/>
      </c>
      <c r="P11" s="15" t="str">
        <f ca="1">IFERROR(OFFSET(INDEX('Data table'!$E$11:$AH$32,MATCH('Comparison of banks'!$P$4,'Data table'!$C$11:$C$32,0),MATCH($B11,'Data table'!$P$7:$R$7,0)),0,14),"")</f>
        <v/>
      </c>
      <c r="Q11" s="13" t="str">
        <f ca="1">IFERROR(OFFSET(INDEX('Data table'!$E$11:$AH$32,MATCH('Comparison of banks'!$P$4,'Data table'!$C$11:$C$32,0),MATCH($B11,'Data table'!$P$7:$R$7,0)),0,17),"")</f>
        <v/>
      </c>
      <c r="R11" s="13" t="str">
        <f ca="1">IFERROR(OFFSET(INDEX('Data table'!$E$11:$AH$32,MATCH('Comparison of banks'!$P$4,'Data table'!$C$11:$C$32,0),MATCH($B11,'Data table'!$P$7:$R$7,0)),0,20),"")</f>
        <v/>
      </c>
    </row>
    <row r="12" spans="2:19" ht="12" customHeight="1" x14ac:dyDescent="0.25">
      <c r="B12" s="53" t="str">
        <f>'Individual banks'!$B$13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C12" s="42"/>
      <c r="D12" s="42"/>
      <c r="E12" s="7"/>
      <c r="F12" s="7"/>
      <c r="G12" s="25"/>
      <c r="H12" s="25"/>
      <c r="I12" s="7"/>
      <c r="J12" s="7"/>
      <c r="K12" s="25"/>
      <c r="L12" s="25"/>
      <c r="M12" s="7"/>
      <c r="N12" s="7"/>
      <c r="O12" s="25"/>
      <c r="P12" s="25"/>
      <c r="Q12" s="7"/>
      <c r="R12" s="7"/>
    </row>
    <row r="13" spans="2:19" ht="11.4" customHeight="1" x14ac:dyDescent="0.25">
      <c r="B13" s="53" t="str">
        <f>IF($R$1="ENG","","ОК - основний капітал, РК - регулятивний капітал, Н2 - норматив адекватності регулятивного капіталу, Н3 - норматив адекватності основного капіталу.")</f>
        <v>ОК - основний капітал, РК - регулятивний капітал, Н2 - норматив адекватності регулятивного капіталу, Н3 - норматив адекватності основного капіталу.</v>
      </c>
      <c r="C13" s="42"/>
      <c r="D13" s="42"/>
      <c r="E13" s="7"/>
      <c r="J13" s="7"/>
      <c r="K13" s="25"/>
      <c r="L13" s="25"/>
      <c r="M13" s="7"/>
      <c r="N13" s="7"/>
      <c r="O13" s="25"/>
      <c r="P13" s="25"/>
      <c r="Q13" s="7"/>
      <c r="R13" s="7"/>
    </row>
    <row r="14" spans="2:19" ht="23.4" customHeight="1" x14ac:dyDescent="0.25">
      <c r="B14" s="167" t="str">
        <f>IFERROR(IF(OR(COUNTIF($C$4:$R$4,"Альфа-Банк**")&gt;0,COUNTIF($C$4:$R$4,"Укрсоцбанк**")&gt;0,COUNTIF($C$4:$R$4,"Alfa-Bank**")&gt;0,COUNTIF($C$4:$R$4,"Ukrsotsbank**")&gt;0),'2021 data table'!$A$45,""),"")</f>
        <v/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</row>
    <row r="15" spans="2:19" ht="13.2" customHeight="1" x14ac:dyDescent="0.25">
      <c r="C15" s="162" t="str">
        <f>IF($R$1="ENG","Core capital under baseline scenario,
UAH mln","Основний капітал за базовим сценарієм, 
млн грн")</f>
        <v>Основний капітал за базовим сценарієм, 
млн грн</v>
      </c>
      <c r="D15" s="162"/>
      <c r="E15" s="162"/>
      <c r="F15" s="162"/>
      <c r="G15" s="162" t="str">
        <f>IF($R$1="ENG","Core capital ratio under baseline scenario","Норматив достатності основного капіталу Н3 за базовим сценарієм")</f>
        <v>Норматив достатності основного капіталу Н3 за базовим сценарієм</v>
      </c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spans="2:19" x14ac:dyDescent="0.25">
      <c r="B16" s="26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</row>
    <row r="18" spans="1:6" x14ac:dyDescent="0.25">
      <c r="A18" s="125"/>
      <c r="B18" s="125"/>
      <c r="C18" s="125"/>
      <c r="D18" s="125"/>
      <c r="E18" s="125"/>
      <c r="F18" s="125"/>
    </row>
    <row r="19" spans="1:6" x14ac:dyDescent="0.25">
      <c r="A19" s="125"/>
      <c r="B19" s="125"/>
      <c r="C19" s="125"/>
      <c r="D19" s="125"/>
      <c r="E19" s="125"/>
      <c r="F19" s="125"/>
    </row>
    <row r="20" spans="1:6" x14ac:dyDescent="0.25">
      <c r="A20" s="125"/>
      <c r="B20" s="125"/>
      <c r="C20" s="125"/>
      <c r="D20" s="125"/>
      <c r="E20" s="125"/>
      <c r="F20" s="125"/>
    </row>
    <row r="21" spans="1:6" x14ac:dyDescent="0.25">
      <c r="A21" s="125"/>
      <c r="B21" s="125"/>
      <c r="C21" s="125"/>
      <c r="D21" s="125"/>
      <c r="E21" s="125"/>
      <c r="F21" s="125"/>
    </row>
    <row r="22" spans="1:6" x14ac:dyDescent="0.25">
      <c r="A22" s="125"/>
      <c r="B22" s="125"/>
      <c r="C22" s="125"/>
      <c r="D22" s="125"/>
      <c r="E22" s="125"/>
      <c r="F22" s="125"/>
    </row>
    <row r="23" spans="1:6" x14ac:dyDescent="0.25">
      <c r="A23" s="125"/>
      <c r="B23" s="125"/>
      <c r="C23" s="125"/>
      <c r="D23" s="125"/>
      <c r="E23" s="125"/>
      <c r="F23" s="125"/>
    </row>
    <row r="24" spans="1:6" x14ac:dyDescent="0.25">
      <c r="A24" s="125"/>
      <c r="B24" s="125"/>
      <c r="C24" s="125"/>
      <c r="D24" s="125"/>
      <c r="E24" s="125"/>
      <c r="F24" s="125"/>
    </row>
    <row r="25" spans="1:6" x14ac:dyDescent="0.25">
      <c r="A25" s="125"/>
      <c r="B25" s="125"/>
      <c r="C25" s="125"/>
      <c r="D25" s="125"/>
      <c r="E25" s="125"/>
      <c r="F25" s="125"/>
    </row>
    <row r="26" spans="1:6" x14ac:dyDescent="0.25">
      <c r="A26" s="125"/>
      <c r="B26" s="125"/>
      <c r="C26" s="125"/>
      <c r="D26" s="125"/>
      <c r="E26" s="125"/>
      <c r="F26" s="125"/>
    </row>
    <row r="27" spans="1:6" x14ac:dyDescent="0.25">
      <c r="A27" s="125"/>
      <c r="B27" s="125"/>
      <c r="C27" s="125"/>
      <c r="D27" s="125"/>
      <c r="E27" s="125"/>
      <c r="F27" s="125"/>
    </row>
    <row r="28" spans="1:6" x14ac:dyDescent="0.25">
      <c r="A28" s="125"/>
      <c r="B28" s="125"/>
      <c r="C28" s="125"/>
      <c r="D28" s="125"/>
      <c r="E28" s="125"/>
      <c r="F28" s="125"/>
    </row>
    <row r="29" spans="1:6" x14ac:dyDescent="0.25">
      <c r="A29" s="125"/>
      <c r="B29" s="125"/>
      <c r="C29" s="125"/>
      <c r="D29" s="125"/>
      <c r="E29" s="125"/>
      <c r="F29" s="125"/>
    </row>
    <row r="30" spans="1:6" x14ac:dyDescent="0.25">
      <c r="A30" s="125"/>
      <c r="B30" s="125"/>
      <c r="C30" s="125"/>
      <c r="D30" s="125"/>
      <c r="E30" s="125"/>
      <c r="F30" s="125"/>
    </row>
    <row r="31" spans="1:6" x14ac:dyDescent="0.25">
      <c r="A31" s="125"/>
      <c r="B31" s="125"/>
      <c r="C31" s="125"/>
      <c r="D31" s="125"/>
      <c r="E31" s="125"/>
      <c r="F31" s="125"/>
    </row>
    <row r="32" spans="1:6" x14ac:dyDescent="0.25">
      <c r="A32" s="125"/>
      <c r="B32" s="125"/>
      <c r="C32" s="125"/>
      <c r="D32" s="125"/>
      <c r="E32" s="125"/>
      <c r="F32" s="125"/>
    </row>
    <row r="33" spans="1:6" x14ac:dyDescent="0.25">
      <c r="A33" s="125"/>
      <c r="B33" s="125"/>
      <c r="C33" s="125"/>
      <c r="D33" s="125"/>
      <c r="E33" s="125"/>
      <c r="F33" s="125"/>
    </row>
    <row r="34" spans="1:6" x14ac:dyDescent="0.25">
      <c r="A34" s="125"/>
      <c r="B34" s="125"/>
      <c r="C34" s="125"/>
      <c r="D34" s="125"/>
      <c r="E34" s="125"/>
      <c r="F34" s="125"/>
    </row>
    <row r="35" spans="1:6" x14ac:dyDescent="0.25">
      <c r="A35" s="125"/>
      <c r="B35" s="125"/>
      <c r="C35" s="125"/>
      <c r="D35" s="125"/>
      <c r="E35" s="125"/>
      <c r="F35" s="125"/>
    </row>
    <row r="36" spans="1:6" x14ac:dyDescent="0.25">
      <c r="A36" s="125"/>
      <c r="B36" s="125"/>
      <c r="C36" s="125"/>
      <c r="D36" s="125"/>
      <c r="E36" s="125"/>
      <c r="F36" s="125"/>
    </row>
    <row r="37" spans="1:6" x14ac:dyDescent="0.25">
      <c r="A37" s="125"/>
      <c r="B37" s="125"/>
      <c r="C37" s="125"/>
      <c r="D37" s="125"/>
      <c r="E37" s="125"/>
      <c r="F37" s="125"/>
    </row>
    <row r="38" spans="1:6" x14ac:dyDescent="0.25">
      <c r="A38" s="125"/>
      <c r="B38" s="125"/>
      <c r="C38" s="125"/>
      <c r="D38" s="125"/>
      <c r="E38" s="125"/>
      <c r="F38" s="125"/>
    </row>
    <row r="39" spans="1:6" x14ac:dyDescent="0.25">
      <c r="A39" s="125"/>
      <c r="B39" s="125"/>
      <c r="C39" s="125"/>
      <c r="D39" s="125"/>
      <c r="E39" s="125"/>
      <c r="F39" s="125"/>
    </row>
    <row r="40" spans="1:6" x14ac:dyDescent="0.25">
      <c r="A40" s="125"/>
      <c r="B40" s="125"/>
      <c r="C40" s="125"/>
      <c r="D40" s="125"/>
      <c r="E40" s="125"/>
      <c r="F40" s="125"/>
    </row>
    <row r="41" spans="1:6" x14ac:dyDescent="0.25">
      <c r="A41" s="125"/>
      <c r="B41" s="125"/>
      <c r="C41" s="125"/>
      <c r="D41" s="125"/>
      <c r="E41" s="125"/>
      <c r="F41" s="125"/>
    </row>
    <row r="42" spans="1:6" x14ac:dyDescent="0.25">
      <c r="A42" s="125"/>
      <c r="B42" s="125"/>
      <c r="C42" s="125"/>
      <c r="D42" s="125"/>
      <c r="E42" s="125"/>
      <c r="F42" s="125"/>
    </row>
    <row r="43" spans="1:6" x14ac:dyDescent="0.25">
      <c r="A43" s="125"/>
      <c r="B43" s="125"/>
      <c r="C43" s="125"/>
      <c r="D43" s="125"/>
      <c r="E43" s="125"/>
      <c r="F43" s="125"/>
    </row>
    <row r="44" spans="1:6" x14ac:dyDescent="0.25">
      <c r="A44" s="125"/>
      <c r="B44" s="125"/>
      <c r="C44" s="125"/>
      <c r="D44" s="125"/>
      <c r="E44" s="125"/>
      <c r="F44" s="125"/>
    </row>
    <row r="45" spans="1:6" x14ac:dyDescent="0.25">
      <c r="A45" s="125"/>
      <c r="B45" s="125"/>
      <c r="C45" s="125"/>
      <c r="D45" s="125"/>
      <c r="E45" s="125"/>
      <c r="F45" s="125"/>
    </row>
    <row r="46" spans="1:6" x14ac:dyDescent="0.25">
      <c r="A46" s="125"/>
      <c r="B46" s="125"/>
      <c r="C46" s="125"/>
      <c r="D46" s="125"/>
      <c r="E46" s="125"/>
      <c r="F46" s="125"/>
    </row>
    <row r="47" spans="1:6" x14ac:dyDescent="0.25">
      <c r="A47" s="125"/>
      <c r="B47" s="125"/>
      <c r="C47" s="125"/>
      <c r="D47" s="125"/>
      <c r="E47" s="125"/>
      <c r="F47" s="125"/>
    </row>
    <row r="48" spans="1:6" x14ac:dyDescent="0.25">
      <c r="A48" s="125"/>
      <c r="B48" s="125"/>
      <c r="C48" s="125"/>
      <c r="D48" s="125"/>
      <c r="E48" s="125"/>
      <c r="F48" s="125"/>
    </row>
    <row r="49" spans="1:6" x14ac:dyDescent="0.25">
      <c r="A49" s="125"/>
      <c r="B49" s="125"/>
      <c r="C49" s="125"/>
      <c r="D49" s="125"/>
      <c r="E49" s="125"/>
      <c r="F49" s="125"/>
    </row>
    <row r="50" spans="1:6" x14ac:dyDescent="0.25">
      <c r="A50" s="125"/>
      <c r="B50" s="125"/>
      <c r="C50" s="125"/>
      <c r="D50" s="125"/>
      <c r="E50" s="125"/>
      <c r="F50" s="125"/>
    </row>
    <row r="51" spans="1:6" x14ac:dyDescent="0.25">
      <c r="A51" s="125"/>
      <c r="B51" s="125"/>
      <c r="C51" s="125"/>
      <c r="D51" s="125"/>
      <c r="E51" s="125"/>
      <c r="F51" s="125"/>
    </row>
    <row r="52" spans="1:6" x14ac:dyDescent="0.25">
      <c r="A52" s="125"/>
      <c r="B52" s="125"/>
      <c r="C52" s="125"/>
      <c r="D52" s="125"/>
      <c r="E52" s="125"/>
      <c r="F52" s="125"/>
    </row>
    <row r="53" spans="1:6" x14ac:dyDescent="0.25">
      <c r="A53" s="125"/>
      <c r="B53" s="125"/>
      <c r="C53" s="125"/>
      <c r="D53" s="125"/>
      <c r="E53" s="125"/>
      <c r="F53" s="125"/>
    </row>
    <row r="54" spans="1:6" x14ac:dyDescent="0.25">
      <c r="A54" s="125"/>
      <c r="B54" s="125"/>
      <c r="C54" s="125"/>
      <c r="D54" s="125"/>
      <c r="E54" s="125"/>
      <c r="F54" s="125"/>
    </row>
    <row r="55" spans="1:6" x14ac:dyDescent="0.25">
      <c r="A55" s="125"/>
      <c r="B55" s="125"/>
      <c r="C55" s="125"/>
      <c r="D55" s="125"/>
      <c r="E55" s="125"/>
      <c r="F55" s="125"/>
    </row>
    <row r="56" spans="1:6" x14ac:dyDescent="0.25">
      <c r="A56" s="125"/>
      <c r="B56" s="125"/>
      <c r="C56" s="125"/>
      <c r="D56" s="125"/>
      <c r="E56" s="125"/>
      <c r="F56" s="125"/>
    </row>
    <row r="57" spans="1:6" x14ac:dyDescent="0.25">
      <c r="A57" s="125"/>
      <c r="B57" s="125"/>
      <c r="C57" s="125"/>
      <c r="D57" s="125"/>
      <c r="E57" s="125"/>
      <c r="F57" s="125"/>
    </row>
    <row r="58" spans="1:6" x14ac:dyDescent="0.25">
      <c r="A58" s="125"/>
      <c r="B58" s="125"/>
      <c r="C58" s="125"/>
      <c r="D58" s="125"/>
      <c r="E58" s="125"/>
      <c r="F58" s="125"/>
    </row>
    <row r="59" spans="1:6" x14ac:dyDescent="0.25">
      <c r="A59" s="125"/>
      <c r="B59" s="125"/>
      <c r="C59" s="125"/>
      <c r="D59" s="125"/>
      <c r="E59" s="125"/>
      <c r="F59" s="125"/>
    </row>
    <row r="60" spans="1:6" x14ac:dyDescent="0.25">
      <c r="A60" s="125"/>
      <c r="B60" s="125"/>
      <c r="C60" s="125"/>
      <c r="D60" s="125"/>
      <c r="E60" s="125"/>
      <c r="F60" s="125"/>
    </row>
  </sheetData>
  <mergeCells count="7">
    <mergeCell ref="G15:J16"/>
    <mergeCell ref="B4:B5"/>
    <mergeCell ref="O15:R16"/>
    <mergeCell ref="K15:N16"/>
    <mergeCell ref="C8:R8"/>
    <mergeCell ref="C15:F16"/>
    <mergeCell ref="B14:R14"/>
  </mergeCells>
  <pageMargins left="0.7" right="0.7" top="0.75" bottom="0.75" header="0.3" footer="0.3"/>
  <pageSetup paperSize="9" orientation="portrait" r:id="rId1"/>
  <ignoredErrors>
    <ignoredError sqref="E4:F4 I4:J4 M4:N4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defaultSize="0" autoLine="0" autoPict="0">
                <anchor moveWithCells="1">
                  <from>
                    <xdr:col>2</xdr:col>
                    <xdr:colOff>312420</xdr:colOff>
                    <xdr:row>3</xdr:row>
                    <xdr:rowOff>45720</xdr:rowOff>
                  </from>
                  <to>
                    <xdr:col>5</xdr:col>
                    <xdr:colOff>426720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defaultSize="0" autoLine="0" autoPict="0">
                <anchor moveWithCells="1">
                  <from>
                    <xdr:col>6</xdr:col>
                    <xdr:colOff>335280</xdr:colOff>
                    <xdr:row>3</xdr:row>
                    <xdr:rowOff>38100</xdr:rowOff>
                  </from>
                  <to>
                    <xdr:col>9</xdr:col>
                    <xdr:colOff>411480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Drop Down 4">
              <controlPr defaultSize="0" autoLine="0" autoPict="0">
                <anchor moveWithCells="1">
                  <from>
                    <xdr:col>10</xdr:col>
                    <xdr:colOff>335280</xdr:colOff>
                    <xdr:row>3</xdr:row>
                    <xdr:rowOff>45720</xdr:rowOff>
                  </from>
                  <to>
                    <xdr:col>13</xdr:col>
                    <xdr:colOff>518160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Drop Down 6">
              <controlPr defaultSize="0" autoLine="0" autoPict="0">
                <anchor moveWithCells="1">
                  <from>
                    <xdr:col>14</xdr:col>
                    <xdr:colOff>320040</xdr:colOff>
                    <xdr:row>3</xdr:row>
                    <xdr:rowOff>38100</xdr:rowOff>
                  </from>
                  <to>
                    <xdr:col>17</xdr:col>
                    <xdr:colOff>426720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Drop Down 7">
              <controlPr defaultSize="0" autoLine="0" autoPict="0">
                <anchor moveWithCells="1">
                  <from>
                    <xdr:col>16</xdr:col>
                    <xdr:colOff>502920</xdr:colOff>
                    <xdr:row>0</xdr:row>
                    <xdr:rowOff>0</xdr:rowOff>
                  </from>
                  <to>
                    <xdr:col>18</xdr:col>
                    <xdr:colOff>7620</xdr:colOff>
                    <xdr:row>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3"/>
  <dimension ref="A1:R62"/>
  <sheetViews>
    <sheetView zoomScale="85" zoomScaleNormal="85" workbookViewId="0"/>
  </sheetViews>
  <sheetFormatPr defaultColWidth="8.88671875" defaultRowHeight="13.2" x14ac:dyDescent="0.25"/>
  <cols>
    <col min="1" max="1" width="4" style="1" customWidth="1"/>
    <col min="2" max="2" width="24.109375" style="1" customWidth="1"/>
    <col min="3" max="3" width="12" style="1" customWidth="1"/>
    <col min="4" max="4" width="12.88671875" style="1" customWidth="1"/>
    <col min="5" max="5" width="11" style="1" customWidth="1"/>
    <col min="6" max="6" width="12.33203125" style="1" customWidth="1"/>
    <col min="7" max="7" width="12" style="1" customWidth="1"/>
    <col min="8" max="8" width="13.44140625" style="1" customWidth="1"/>
    <col min="9" max="9" width="10.33203125" style="1" customWidth="1"/>
    <col min="10" max="10" width="11.6640625" style="1" customWidth="1"/>
    <col min="11" max="11" width="12.109375" style="1" customWidth="1"/>
    <col min="12" max="12" width="11.88671875" style="1" customWidth="1"/>
    <col min="13" max="13" width="10.33203125" style="1" customWidth="1"/>
    <col min="14" max="14" width="11.6640625" style="1" customWidth="1"/>
    <col min="15" max="15" width="12.44140625" style="1" customWidth="1"/>
    <col min="16" max="16384" width="8.88671875" style="1"/>
  </cols>
  <sheetData>
    <row r="1" spans="1:18" x14ac:dyDescent="0.25">
      <c r="O1" s="52" t="str">
        <f>'Individual banks'!K1</f>
        <v>UA</v>
      </c>
      <c r="P1" s="58" t="str">
        <f>IF($O$1="ENG","Змінити мову тут","Change language here")</f>
        <v>Change language here</v>
      </c>
    </row>
    <row r="2" spans="1:18" x14ac:dyDescent="0.25">
      <c r="B2" s="41" t="str">
        <f>IF($O$1="ENG","Resilience assessment results (comparison across groups of banks)","Результати оцінки стійкості банку (порівняння із відповідною групою банків)")</f>
        <v>Результати оцінки стійкості банку (порівняння із відповідною групою банків)</v>
      </c>
      <c r="H2" s="39">
        <v>21</v>
      </c>
      <c r="I2" s="40">
        <f>INDEX('Data table'!$C$11:$C$32,H2,1)</f>
        <v>0</v>
      </c>
      <c r="J2" s="5"/>
      <c r="K2" s="5"/>
    </row>
    <row r="3" spans="1:18" x14ac:dyDescent="0.25">
      <c r="C3" s="10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x14ac:dyDescent="0.25">
      <c r="B4" s="11"/>
      <c r="C4" s="11"/>
      <c r="D4" s="11"/>
      <c r="E4" s="11"/>
      <c r="F4" s="11"/>
      <c r="I4" s="6"/>
      <c r="J4" s="6"/>
      <c r="K4" s="11"/>
      <c r="L4" s="11"/>
      <c r="M4" s="11"/>
      <c r="N4" s="11"/>
      <c r="O4" s="12" t="s">
        <v>0</v>
      </c>
    </row>
    <row r="5" spans="1:18" ht="20.399999999999999" customHeight="1" x14ac:dyDescent="0.25">
      <c r="B5" s="161" t="str">
        <f>IF($O$1="ENG","Indicator","Показник")</f>
        <v>Показник</v>
      </c>
      <c r="C5" s="161">
        <f>IFERROR(I2,"")</f>
        <v>0</v>
      </c>
      <c r="D5" s="161"/>
      <c r="E5" s="161"/>
      <c r="F5" s="161"/>
      <c r="G5" s="168" t="str">
        <f>IF($O$1="ENG","All banks under resilience assessment","Усі банки, що проходили оцінку стійкості")</f>
        <v>Усі банки, що проходили оцінку стійкості</v>
      </c>
      <c r="H5" s="168"/>
      <c r="I5" s="168"/>
      <c r="J5" s="168"/>
      <c r="K5" s="161" t="str">
        <f>IFERROR(VLOOKUP(I2,'Data table'!$C$11:$D$32,2,0),"")</f>
        <v/>
      </c>
      <c r="L5" s="161"/>
      <c r="M5" s="161"/>
      <c r="N5" s="161"/>
      <c r="O5" s="156" t="str">
        <f>'Individual banks'!B11</f>
        <v>Граничне значення Н3</v>
      </c>
    </row>
    <row r="6" spans="1:18" ht="39" customHeight="1" x14ac:dyDescent="0.25">
      <c r="B6" s="166"/>
      <c r="C6" s="70" t="str">
        <f>'2021 data table'!E6</f>
        <v>ОК, млн грн</v>
      </c>
      <c r="D6" s="70" t="str">
        <f>'2021 data table'!F6</f>
        <v>РК, млн грн</v>
      </c>
      <c r="E6" s="70" t="str">
        <f>'2021 data table'!G6</f>
        <v>Н2</v>
      </c>
      <c r="F6" s="70" t="str">
        <f>'2021 data table'!H6</f>
        <v>Н3</v>
      </c>
      <c r="G6" s="70" t="str">
        <f t="shared" ref="G6:N6" si="0">C6</f>
        <v>ОК, млн грн</v>
      </c>
      <c r="H6" s="70" t="str">
        <f t="shared" si="0"/>
        <v>РК, млн грн</v>
      </c>
      <c r="I6" s="70" t="str">
        <f t="shared" si="0"/>
        <v>Н2</v>
      </c>
      <c r="J6" s="70" t="str">
        <f t="shared" si="0"/>
        <v>Н3</v>
      </c>
      <c r="K6" s="70" t="str">
        <f t="shared" si="0"/>
        <v>ОК, млн грн</v>
      </c>
      <c r="L6" s="70" t="str">
        <f t="shared" si="0"/>
        <v>РК, млн грн</v>
      </c>
      <c r="M6" s="70" t="str">
        <f t="shared" si="0"/>
        <v>Н2</v>
      </c>
      <c r="N6" s="70" t="str">
        <f t="shared" si="0"/>
        <v>Н3</v>
      </c>
      <c r="O6" s="157"/>
    </row>
    <row r="7" spans="1:18" x14ac:dyDescent="0.25">
      <c r="A7" s="60"/>
      <c r="B7" s="20" t="str">
        <f>'Individual banks'!C4</f>
        <v>Дані банку на 01.04.23</v>
      </c>
      <c r="C7" s="55" t="str">
        <f>IFERROR(INDEX('Data table'!$E$11:$AH$32,MATCH('Comparison with group'!$I$2,'Data table'!$C$11:$C$32,0),MATCH('Comparison with group'!C$6,'Data table'!$E$6:$I$6,0)),"")</f>
        <v/>
      </c>
      <c r="D7" s="55" t="str">
        <f>IFERROR(INDEX('Data table'!$E$11:$AH$32,MATCH('Comparison with group'!$I$2,'Data table'!$C$11:$C$32,0),MATCH('Comparison with group'!D$6,'Data table'!$E$6:$I$6,0)),"")</f>
        <v/>
      </c>
      <c r="E7" s="14" t="str">
        <f>IFERROR(INDEX('Data table'!$E$11:$AY$32,MATCH('Comparison with group'!$I$2,'Data table'!$C$11:$C$32,0),MATCH('Comparison with group'!E$6,'Data table'!$E$6:$I$6,0)),"")</f>
        <v/>
      </c>
      <c r="F7" s="14" t="str">
        <f>IFERROR(INDEX('Data table'!$E$11:$AH$32,MATCH('Comparison with group'!$I$2,'Data table'!$C$11:$C$32,0),MATCH('Comparison with group'!F$6,'Data table'!$E$6:$I$6,0)),"")</f>
        <v/>
      </c>
      <c r="G7" s="55">
        <f>SUM('Data table'!$E$11:$E$30)</f>
        <v>123275.08399999997</v>
      </c>
      <c r="H7" s="55">
        <f>SUM('Data table'!$F$11:$F$30)</f>
        <v>189959.35099999997</v>
      </c>
      <c r="I7" s="14">
        <f>IFERROR(H7/SUM('Data table'!$I$11:$I$32),"")</f>
        <v>0.19257734119568787</v>
      </c>
      <c r="J7" s="14">
        <f>IFERROR(G7/SUM('Data table'!$I$11:$I$32),"")</f>
        <v>0.12497404201173062</v>
      </c>
      <c r="K7" s="55" t="str">
        <f>IF(K5="","",SUMIFS('Data table'!E$10:E$40,'Data table'!$D$10:$D$40,'Comparison with group'!$K$5:$N$5))</f>
        <v/>
      </c>
      <c r="L7" s="55" t="str">
        <f>IF(K5="","",SUMIFS('Data table'!F$10:F$40,'Data table'!$D$10:$D$40,$K$5))</f>
        <v/>
      </c>
      <c r="M7" s="14" t="str">
        <f>IFERROR(L7/SUMIFS('Data table'!$I$10:$I$40,'Data table'!$D$10:$D$40,$K$5),"")</f>
        <v/>
      </c>
      <c r="N7" s="14" t="str">
        <f>IFERROR(K7/SUMIFS('Data table'!$I$10:$I$40,'Data table'!$D$10:$D$40,$K$5),"")</f>
        <v/>
      </c>
      <c r="O7" s="54">
        <v>7.0000000000000007E-2</v>
      </c>
      <c r="P7" s="112"/>
      <c r="Q7" s="46"/>
      <c r="R7" s="112"/>
    </row>
    <row r="8" spans="1:18" x14ac:dyDescent="0.25">
      <c r="A8" s="60"/>
      <c r="B8" s="17" t="str">
        <f>'Individual banks'!D4</f>
        <v>AQR на 01.04.23</v>
      </c>
      <c r="C8" s="15" t="str">
        <f ca="1">IFERROR(OFFSET(INDEX('Data table'!$E$11:$AH$32,MATCH('Comparison with group'!$I$2,'Data table'!$C$11:$C$32,0),MATCH('Comparison with group'!C$6,'Data table'!$J$6:$O$6,0)),0,5),"")</f>
        <v/>
      </c>
      <c r="D8" s="15" t="str">
        <f ca="1">IFERROR(OFFSET(INDEX('Data table'!$E$11:$AH$32,MATCH('Comparison with group'!$I$2,'Data table'!$C$11:$C$32,0),MATCH('Comparison with group'!D$6,'Data table'!$J$6:$O$6,0)),0,5),"")</f>
        <v/>
      </c>
      <c r="E8" s="13" t="str">
        <f ca="1">IFERROR(OFFSET(INDEX('Data table'!$E$11:$AH$32,MATCH('Comparison with group'!$I$2,'Data table'!$C$11:$C$32,0),MATCH('Comparison with group'!E$6,'Data table'!$J$6:$O$6,0)),0,5),"")</f>
        <v/>
      </c>
      <c r="F8" s="13" t="str">
        <f ca="1">IFERROR(OFFSET(INDEX('Data table'!$E$11:$AH$32,MATCH('Comparison with group'!$I$2,'Data table'!$C$11:$C$32,0),MATCH('Comparison with group'!F$6,'Data table'!$J$6:$O$6,0)),0,5),"")</f>
        <v/>
      </c>
      <c r="G8" s="15">
        <f>SUM('Data table'!$K$11:$K$30)</f>
        <v>119253.599</v>
      </c>
      <c r="H8" s="15">
        <f>SUM('Data table'!L$10:L$40)</f>
        <v>184188.79999999996</v>
      </c>
      <c r="I8" s="13">
        <f>IFERROR(H8/SUM('Data table'!$O$11:$O$32),"")</f>
        <v>0.18762781445976429</v>
      </c>
      <c r="J8" s="13">
        <f>IFERROR(G8/SUM('Data table'!$O$11:$O$32),"")</f>
        <v>0.12148019937602686</v>
      </c>
      <c r="K8" s="15" t="str">
        <f>IF(K5="","",SUMIFS('Data table'!K$10:K$40,'Data table'!$D$10:$D$40,'Comparison with group'!$K$5:$N$5))</f>
        <v/>
      </c>
      <c r="L8" s="15" t="str">
        <f>IF(K5="","",SUMIFS('Data table'!L$10:L$40,'Data table'!$D$10:$D$40,$K$5))</f>
        <v/>
      </c>
      <c r="M8" s="13" t="str">
        <f>IFERROR(L8/SUMIFS('Data table'!$O$10:$O$40,'Data table'!$D$10:$D$40,$K$5),"")</f>
        <v/>
      </c>
      <c r="N8" s="13" t="str">
        <f>IFERROR(K8/SUMIFS('Data table'!$O$10:$O$40,'Data table'!$D$10:$D$40,$K$5),"")</f>
        <v/>
      </c>
      <c r="O8" s="50">
        <v>7.0000000000000007E-2</v>
      </c>
      <c r="P8" s="112"/>
      <c r="Q8" s="46"/>
      <c r="R8" s="112"/>
    </row>
    <row r="9" spans="1:18" ht="13.2" customHeight="1" x14ac:dyDescent="0.25">
      <c r="B9" s="49" t="str">
        <f>IF($O$1="ENG","Forecast year","Прогнозний рік")</f>
        <v>Прогнозний рік</v>
      </c>
      <c r="C9" s="163" t="str">
        <f>IF($O$1="ENG","Baseline scenario","За базовим макроекономічним сценарієм")</f>
        <v>За базовим макроекономічним сценарієм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5"/>
    </row>
    <row r="10" spans="1:18" x14ac:dyDescent="0.25">
      <c r="B10" s="22" t="str">
        <f>'2021 data table'!P7</f>
        <v>1-й</v>
      </c>
      <c r="C10" s="15" t="str">
        <f ca="1">IFERROR(OFFSET(INDEX('Data table'!$E$11:$AH$32,MATCH('Comparison with group'!$I$2,'Data table'!$C$11:$C$32,0),MATCH($B10,'Data table'!$P$7:$R$7,0)),0,11),"")</f>
        <v/>
      </c>
      <c r="D10" s="15" t="str">
        <f ca="1">IFERROR(OFFSET(INDEX('Data table'!$E$11:$AH$32,MATCH('Comparison with group'!$I$2,'Data table'!$C$11:$C$32,0),MATCH($B10,'Data table'!$P$7:$R$7,0)),0,14),"")</f>
        <v/>
      </c>
      <c r="E10" s="13" t="str">
        <f ca="1">IFERROR(OFFSET(INDEX('Data table'!$E$11:$AH$32,MATCH('Comparison with group'!$I$2,'Data table'!$C$11:$C$32,0),MATCH($B10,'Data table'!$P$7:$R$7,0)),0,17),"")</f>
        <v/>
      </c>
      <c r="F10" s="13" t="str">
        <f ca="1">IFERROR(OFFSET(INDEX('Data table'!$E$11:$AH$32,MATCH('Comparison with group'!$I$2,'Data table'!$C$11:$C$32,0),MATCH($B10,'Data table'!$P$7:$R$7,0)),0,20),"")</f>
        <v/>
      </c>
      <c r="G10" s="15">
        <f>SUM('Data table'!P$11:P$32)</f>
        <v>249496.14699999997</v>
      </c>
      <c r="H10" s="15">
        <f>SUM('Data table'!S$11:S$32)</f>
        <v>265489.70300000004</v>
      </c>
      <c r="I10" s="13">
        <f>IFERROR(H10/SUM('Data table'!$AB$11:$AB$32),"")</f>
        <v>0.26544886138705553</v>
      </c>
      <c r="J10" s="13">
        <f>IFERROR(G10/SUM('Data table'!$AB$11:$AB$32),"")</f>
        <v>0.24945776575601283</v>
      </c>
      <c r="K10" s="15" t="str">
        <f>IF($K$5="","",SUMIFS('Data table'!P$11:P$32,'Data table'!$D$11:$D$32,'Comparison with group'!$K$5:$N$5))</f>
        <v/>
      </c>
      <c r="L10" s="15" t="str">
        <f>IF(K5="","",SUMIFS('Data table'!S$11:S$32,'Data table'!$D$11:$D$32,$K$5))</f>
        <v/>
      </c>
      <c r="M10" s="13" t="str">
        <f>IFERROR(L10/SUMIFS('Data table'!$AB$11:$AB$32,'Data table'!$D$11:$D$32,$K$5),"")</f>
        <v/>
      </c>
      <c r="N10" s="13" t="str">
        <f>IFERROR(K10/SUMIFS('Data table'!$AB$11:$AB$32,'Data table'!$D$11:$D$32,$K$5),"")</f>
        <v/>
      </c>
      <c r="O10" s="50">
        <v>7.0000000000000007E-2</v>
      </c>
      <c r="P10" s="112"/>
    </row>
    <row r="11" spans="1:18" x14ac:dyDescent="0.25">
      <c r="B11" s="23" t="str">
        <f>'2021 data table'!Q7</f>
        <v>2-й</v>
      </c>
      <c r="C11" s="15" t="str">
        <f ca="1">IFERROR(OFFSET(INDEX('Data table'!$E$11:$AH$32,MATCH('Comparison with group'!$I$2,'Data table'!$C$11:$C$32,0),MATCH($B11,'Data table'!$P$7:$R$7,0)),0,11),"")</f>
        <v/>
      </c>
      <c r="D11" s="15" t="str">
        <f ca="1">IFERROR(OFFSET(INDEX('Data table'!$E$11:$AH$32,MATCH('Comparison with group'!$I$2,'Data table'!$C$11:$C$32,0),MATCH($B11,'Data table'!$P$7:$R$7,0)),0,14),"")</f>
        <v/>
      </c>
      <c r="E11" s="13" t="str">
        <f ca="1">IFERROR(OFFSET(INDEX('Data table'!$E$11:$AH$32,MATCH('Comparison with group'!$I$2,'Data table'!$C$11:$C$32,0),MATCH($B11,'Data table'!$P$7:$R$7,0)),0,17),"")</f>
        <v/>
      </c>
      <c r="F11" s="13" t="str">
        <f ca="1">IFERROR(OFFSET(INDEX('Data table'!$E$11:$AH$32,MATCH('Comparison with group'!$I$2,'Data table'!$C$11:$C$32,0),MATCH($B11,'Data table'!$P$7:$R$7,0)),0,20),"")</f>
        <v/>
      </c>
      <c r="G11" s="15">
        <f>SUM('Data table'!Q$11:Q$32)</f>
        <v>317269.82500000001</v>
      </c>
      <c r="H11" s="15">
        <f>SUM('Data table'!T$11:T$32)</f>
        <v>332580.66900000011</v>
      </c>
      <c r="I11" s="13">
        <f>IFERROR(H11/SUM('Data table'!$AC$11:$AC$32),"")</f>
        <v>0.3422794417926005</v>
      </c>
      <c r="J11" s="13">
        <f>IFERROR(G11/SUM('Data table'!$AC$11:$AC$32),"")</f>
        <v>0.32652210041298585</v>
      </c>
      <c r="K11" s="15" t="str">
        <f>IF($K$5="","",SUMIFS('Data table'!Q$11:Q$32,'Data table'!$D$11:$D$32,'Comparison with group'!$K$5:$N$5))</f>
        <v/>
      </c>
      <c r="L11" s="15" t="str">
        <f>IF(K5="","",SUMIFS('Data table'!T$11:T$32,'Data table'!$D$11:$D$32,$K$5))</f>
        <v/>
      </c>
      <c r="M11" s="13" t="str">
        <f>IFERROR(L11/SUMIFS('Data table'!$AC$11:$AC$32,'Data table'!$D$11:$D$32,$K$5),"")</f>
        <v/>
      </c>
      <c r="N11" s="13" t="str">
        <f>IFERROR(K11/SUMIFS('Data table'!$AC$11:$AC$32,'Data table'!$D$11:$D$32,$K$5),"")</f>
        <v/>
      </c>
      <c r="O11" s="50">
        <v>7.0000000000000007E-2</v>
      </c>
      <c r="P11" s="112"/>
    </row>
    <row r="12" spans="1:18" x14ac:dyDescent="0.25">
      <c r="B12" s="21" t="str">
        <f>'2021 data table'!R7</f>
        <v>3-й</v>
      </c>
      <c r="C12" s="15" t="str">
        <f ca="1">IFERROR(OFFSET(INDEX('Data table'!$E$11:$AH$32,MATCH('Comparison with group'!$I$2,'Data table'!$C$11:$C$32,0),MATCH($B12,'Data table'!$P$7:$R$7,0)),0,11),"")</f>
        <v/>
      </c>
      <c r="D12" s="15" t="str">
        <f ca="1">IFERROR(OFFSET(INDEX('Data table'!$E$11:$AH$32,MATCH('Comparison with group'!$I$2,'Data table'!$C$11:$C$32,0),MATCH($B12,'Data table'!$P$7:$R$7,0)),0,14),"")</f>
        <v/>
      </c>
      <c r="E12" s="13" t="str">
        <f ca="1">IFERROR(OFFSET(INDEX('Data table'!$E$11:$AH$32,MATCH('Comparison with group'!$I$2,'Data table'!$C$11:$C$32,0),MATCH($B12,'Data table'!$P$7:$R$7,0)),0,17),"")</f>
        <v/>
      </c>
      <c r="F12" s="13" t="str">
        <f ca="1">IFERROR(OFFSET(INDEX('Data table'!$E$11:$AH$32,MATCH('Comparison with group'!$I$2,'Data table'!$C$11:$C$32,0),MATCH($B12,'Data table'!$P$7:$R$7,0)),0,20),"")</f>
        <v/>
      </c>
      <c r="G12" s="15">
        <f>SUM('Data table'!R$11:R$32)</f>
        <v>364386.25499999995</v>
      </c>
      <c r="H12" s="15">
        <f>SUM('Data table'!U$11:U$32)</f>
        <v>379118.1</v>
      </c>
      <c r="I12" s="13">
        <f>IFERROR(H12/SUM('Data table'!$AD$11:$AD$32),"")</f>
        <v>0.394825653741948</v>
      </c>
      <c r="J12" s="13">
        <f>IFERROR(G12/SUM('Data table'!$AD$11:$AD$32),"")</f>
        <v>0.37948344155806635</v>
      </c>
      <c r="K12" s="15" t="str">
        <f>IF($K$5="","",SUMIFS('Data table'!R$11:R$32,'Data table'!$D$11:$D$32,'Comparison with group'!$K$5:$N$5))</f>
        <v/>
      </c>
      <c r="L12" s="15" t="str">
        <f>IF(K5="","",SUMIFS('Data table'!U$11:U$32,'Data table'!$D$11:$D$32,$K$5))</f>
        <v/>
      </c>
      <c r="M12" s="13" t="str">
        <f>IFERROR(L12/SUMIFS('Data table'!$AD$11:$AD$32,'Data table'!$D$11:$D$32,$K$5),"")</f>
        <v/>
      </c>
      <c r="N12" s="13" t="str">
        <f>IFERROR(K12/SUMIFS('Data table'!$AD$11:$AD$32,'Data table'!$D$11:$D$32,$K$5),"")</f>
        <v/>
      </c>
      <c r="O12" s="50">
        <v>7.0000000000000007E-2</v>
      </c>
      <c r="P12" s="112"/>
    </row>
    <row r="13" spans="1:18" ht="10.199999999999999" customHeight="1" x14ac:dyDescent="0.25">
      <c r="B13" s="53" t="str">
        <f>'Individual banks'!$B$13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</row>
    <row r="14" spans="1:18" ht="9.6" customHeight="1" x14ac:dyDescent="0.25">
      <c r="B14" s="53" t="str">
        <f>IF($O$1="ENG","","ОК - основний капітал, РК - регулятивний капітал, Н2 - норматив достатності (адекватності) регулятивного капіталу, Н3 - норматив достатності (адекватності) основного капіталу.")</f>
        <v>ОК - основний капітал, РК - регулятивний капітал, Н2 - норматив достатності (адекватності) регулятивного капіталу, Н3 - норматив достатності (адекватності) основного капіталу.</v>
      </c>
    </row>
    <row r="15" spans="1:18" ht="20.399999999999999" customHeight="1" x14ac:dyDescent="0.25"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</row>
    <row r="16" spans="1:18" ht="13.2" customHeight="1" x14ac:dyDescent="0.25">
      <c r="C16" s="162" t="str">
        <f>IF($O$1="ENG","Core capital ratio under baseline scenario","Норматив достатності основного капіталу Н3 за базовим сценарієм")</f>
        <v>Норматив достатності основного капіталу Н3 за базовим сценарієм</v>
      </c>
      <c r="D16" s="162"/>
      <c r="E16" s="162"/>
      <c r="F16" s="162"/>
      <c r="H16" s="162"/>
      <c r="I16" s="162"/>
      <c r="J16" s="162"/>
      <c r="K16" s="162"/>
    </row>
    <row r="17" spans="1:15" x14ac:dyDescent="0.25">
      <c r="C17" s="162"/>
      <c r="D17" s="162"/>
      <c r="E17" s="162"/>
      <c r="F17" s="162"/>
      <c r="H17" s="162"/>
      <c r="I17" s="162"/>
      <c r="J17" s="162"/>
      <c r="K17" s="162"/>
      <c r="O17" s="46"/>
    </row>
    <row r="23" spans="1:15" x14ac:dyDescent="0.25">
      <c r="A23" s="123"/>
      <c r="B23" s="123"/>
      <c r="C23" s="123"/>
    </row>
    <row r="24" spans="1:15" x14ac:dyDescent="0.25">
      <c r="A24" s="123"/>
      <c r="B24" s="123"/>
      <c r="C24" s="123"/>
    </row>
    <row r="25" spans="1:15" x14ac:dyDescent="0.25">
      <c r="A25" s="123"/>
      <c r="B25" s="123"/>
      <c r="C25" s="123"/>
    </row>
    <row r="26" spans="1:15" x14ac:dyDescent="0.25">
      <c r="A26" s="123"/>
      <c r="B26" s="123"/>
      <c r="C26" s="123"/>
    </row>
    <row r="27" spans="1:15" x14ac:dyDescent="0.25">
      <c r="A27" s="123"/>
      <c r="B27" s="123"/>
      <c r="C27" s="123"/>
    </row>
    <row r="28" spans="1:15" x14ac:dyDescent="0.25">
      <c r="A28" s="123"/>
      <c r="B28" s="123"/>
      <c r="C28" s="123"/>
    </row>
    <row r="29" spans="1:15" x14ac:dyDescent="0.25">
      <c r="A29" s="123"/>
      <c r="B29" s="123"/>
      <c r="C29" s="123"/>
    </row>
    <row r="30" spans="1:15" x14ac:dyDescent="0.25">
      <c r="A30" s="123"/>
      <c r="B30" s="123"/>
      <c r="C30" s="123"/>
    </row>
    <row r="31" spans="1:15" x14ac:dyDescent="0.25">
      <c r="A31" s="123"/>
      <c r="B31" s="123"/>
      <c r="C31" s="123"/>
    </row>
    <row r="32" spans="1:15" x14ac:dyDescent="0.25">
      <c r="A32" s="123"/>
      <c r="B32" s="124"/>
      <c r="C32" s="123"/>
    </row>
    <row r="33" spans="1:3" x14ac:dyDescent="0.25">
      <c r="A33" s="123"/>
      <c r="B33" s="124"/>
      <c r="C33" s="123"/>
    </row>
    <row r="34" spans="1:3" x14ac:dyDescent="0.25">
      <c r="A34" s="123"/>
      <c r="B34" s="56" t="str">
        <f>IF($O$1="ENG","Hurdle rate of core capital ratio at normative level","Граничне значення Н3 на нормативному рівні")</f>
        <v>Граничне значення Н3 на нормативному рівні</v>
      </c>
      <c r="C34" s="123"/>
    </row>
    <row r="35" spans="1:3" x14ac:dyDescent="0.25">
      <c r="A35" s="123"/>
      <c r="B35" s="124"/>
      <c r="C35" s="123"/>
    </row>
    <row r="36" spans="1:3" x14ac:dyDescent="0.25">
      <c r="A36" s="123"/>
      <c r="B36" s="124"/>
      <c r="C36" s="123"/>
    </row>
    <row r="37" spans="1:3" x14ac:dyDescent="0.25">
      <c r="A37" s="123"/>
      <c r="B37" s="124"/>
      <c r="C37" s="123"/>
    </row>
    <row r="38" spans="1:3" x14ac:dyDescent="0.25">
      <c r="A38" s="123"/>
      <c r="B38" s="124"/>
      <c r="C38" s="123"/>
    </row>
    <row r="39" spans="1:3" x14ac:dyDescent="0.25">
      <c r="A39" s="123"/>
      <c r="B39" s="124"/>
      <c r="C39" s="123"/>
    </row>
    <row r="40" spans="1:3" x14ac:dyDescent="0.25">
      <c r="A40" s="123"/>
      <c r="B40" s="123"/>
      <c r="C40" s="123"/>
    </row>
    <row r="41" spans="1:3" x14ac:dyDescent="0.25">
      <c r="A41" s="123"/>
      <c r="B41" s="123"/>
      <c r="C41" s="123"/>
    </row>
    <row r="42" spans="1:3" x14ac:dyDescent="0.25">
      <c r="A42" s="123"/>
      <c r="B42" s="123"/>
      <c r="C42" s="123"/>
    </row>
    <row r="43" spans="1:3" x14ac:dyDescent="0.25">
      <c r="A43" s="123"/>
      <c r="B43" s="123"/>
      <c r="C43" s="123"/>
    </row>
    <row r="44" spans="1:3" x14ac:dyDescent="0.25">
      <c r="A44" s="123"/>
      <c r="B44" s="123"/>
      <c r="C44" s="123"/>
    </row>
    <row r="45" spans="1:3" x14ac:dyDescent="0.25">
      <c r="A45" s="123"/>
      <c r="B45" s="123"/>
      <c r="C45" s="123"/>
    </row>
    <row r="46" spans="1:3" x14ac:dyDescent="0.25">
      <c r="A46" s="123"/>
      <c r="B46" s="123"/>
      <c r="C46" s="123"/>
    </row>
    <row r="47" spans="1:3" x14ac:dyDescent="0.25">
      <c r="A47" s="123"/>
      <c r="B47" s="123"/>
      <c r="C47" s="123"/>
    </row>
    <row r="48" spans="1:3" x14ac:dyDescent="0.25">
      <c r="A48" s="123"/>
      <c r="B48" s="123"/>
      <c r="C48" s="123"/>
    </row>
    <row r="49" spans="1:3" x14ac:dyDescent="0.25">
      <c r="A49" s="123"/>
      <c r="B49" s="123"/>
      <c r="C49" s="123"/>
    </row>
    <row r="50" spans="1:3" x14ac:dyDescent="0.25">
      <c r="A50" s="123"/>
      <c r="B50" s="123"/>
      <c r="C50" s="123"/>
    </row>
    <row r="51" spans="1:3" x14ac:dyDescent="0.25">
      <c r="A51" s="123"/>
      <c r="B51" s="123"/>
      <c r="C51" s="123"/>
    </row>
    <row r="52" spans="1:3" x14ac:dyDescent="0.25">
      <c r="A52" s="123"/>
      <c r="B52" s="123"/>
      <c r="C52" s="123"/>
    </row>
    <row r="53" spans="1:3" x14ac:dyDescent="0.25">
      <c r="A53" s="123"/>
      <c r="B53" s="123"/>
      <c r="C53" s="123"/>
    </row>
    <row r="54" spans="1:3" x14ac:dyDescent="0.25">
      <c r="A54" s="123"/>
      <c r="B54" s="123"/>
      <c r="C54" s="123"/>
    </row>
    <row r="55" spans="1:3" x14ac:dyDescent="0.25">
      <c r="A55" s="123"/>
      <c r="B55" s="123"/>
      <c r="C55" s="123"/>
    </row>
    <row r="56" spans="1:3" x14ac:dyDescent="0.25">
      <c r="A56" s="123"/>
      <c r="B56" s="123"/>
      <c r="C56" s="123"/>
    </row>
    <row r="57" spans="1:3" x14ac:dyDescent="0.25">
      <c r="A57" s="123"/>
      <c r="B57" s="123"/>
      <c r="C57" s="123"/>
    </row>
    <row r="58" spans="1:3" x14ac:dyDescent="0.25">
      <c r="A58" s="123"/>
      <c r="B58" s="123"/>
      <c r="C58" s="123"/>
    </row>
    <row r="59" spans="1:3" x14ac:dyDescent="0.25">
      <c r="A59" s="123"/>
      <c r="B59" s="123"/>
      <c r="C59" s="123"/>
    </row>
    <row r="60" spans="1:3" x14ac:dyDescent="0.25">
      <c r="A60" s="123"/>
      <c r="B60" s="123"/>
      <c r="C60" s="123"/>
    </row>
    <row r="61" spans="1:3" x14ac:dyDescent="0.25">
      <c r="A61" s="123"/>
      <c r="B61" s="123"/>
      <c r="C61" s="123"/>
    </row>
    <row r="62" spans="1:3" x14ac:dyDescent="0.25">
      <c r="A62" s="123"/>
      <c r="B62" s="123"/>
      <c r="C62" s="123"/>
    </row>
  </sheetData>
  <mergeCells count="9">
    <mergeCell ref="O5:O6"/>
    <mergeCell ref="C16:F17"/>
    <mergeCell ref="H16:K17"/>
    <mergeCell ref="B5:B6"/>
    <mergeCell ref="C5:F5"/>
    <mergeCell ref="K5:N5"/>
    <mergeCell ref="G5:J5"/>
    <mergeCell ref="C9:O9"/>
    <mergeCell ref="B15:O15"/>
  </mergeCells>
  <conditionalFormatting sqref="I2">
    <cfRule type="containsBlanks" dxfId="33" priority="1">
      <formula>LEN(TRIM(I2))=0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4">
              <controlPr defaultSize="0" autoLine="0" autoPict="0">
                <anchor moveWithCells="1">
                  <from>
                    <xdr:col>6</xdr:col>
                    <xdr:colOff>822960</xdr:colOff>
                    <xdr:row>0</xdr:row>
                    <xdr:rowOff>160020</xdr:rowOff>
                  </from>
                  <to>
                    <xdr:col>10</xdr:col>
                    <xdr:colOff>83820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Drop Down 5">
              <controlPr defaultSize="0" autoLine="0" autoPict="0">
                <anchor moveWithCells="1">
                  <from>
                    <xdr:col>13</xdr:col>
                    <xdr:colOff>541020</xdr:colOff>
                    <xdr:row>0</xdr:row>
                    <xdr:rowOff>7620</xdr:rowOff>
                  </from>
                  <to>
                    <xdr:col>15</xdr:col>
                    <xdr:colOff>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5"/>
  <dimension ref="A1:P21"/>
  <sheetViews>
    <sheetView zoomScale="85" zoomScaleNormal="85" workbookViewId="0"/>
  </sheetViews>
  <sheetFormatPr defaultColWidth="8.88671875" defaultRowHeight="13.2" x14ac:dyDescent="0.25"/>
  <cols>
    <col min="1" max="1" width="3.6640625" style="1" customWidth="1"/>
    <col min="2" max="2" width="25.33203125" style="1" customWidth="1"/>
    <col min="3" max="3" width="30" style="1" customWidth="1"/>
    <col min="4" max="4" width="22.21875" style="1" customWidth="1"/>
    <col min="5" max="5" width="6.6640625" style="1" customWidth="1"/>
    <col min="6" max="6" width="18.6640625" style="1" customWidth="1"/>
    <col min="7" max="7" width="15.109375" style="1" customWidth="1"/>
    <col min="8" max="8" width="9.33203125" style="1" customWidth="1"/>
    <col min="9" max="9" width="6.6640625" style="1" customWidth="1"/>
    <col min="10" max="10" width="18.6640625" style="1" customWidth="1"/>
    <col min="11" max="11" width="6.6640625" style="1" customWidth="1"/>
    <col min="12" max="12" width="20" style="1" customWidth="1"/>
    <col min="13" max="13" width="22.33203125" style="1" customWidth="1"/>
    <col min="14" max="16384" width="8.88671875" style="1"/>
  </cols>
  <sheetData>
    <row r="1" spans="1:16" x14ac:dyDescent="0.25">
      <c r="L1" s="32"/>
      <c r="M1" s="52" t="str">
        <f>'Individual banks'!K1</f>
        <v>UA</v>
      </c>
      <c r="N1" s="58" t="str">
        <f>IF($M$1="ENG","Змінити мову тут","Change language here")</f>
        <v>Change language here</v>
      </c>
    </row>
    <row r="2" spans="1:16" x14ac:dyDescent="0.25">
      <c r="B2" s="5" t="str">
        <f>IF($M$1="ENG","Capital requirements based on resilience assessment results","Вимоги до капіталу за результатами оцінки стійкості")</f>
        <v>Вимоги до капіталу за результатами оцінки стійкості</v>
      </c>
      <c r="E2" s="2"/>
      <c r="H2" s="6"/>
      <c r="I2" s="6"/>
      <c r="J2" s="6"/>
      <c r="K2" s="6"/>
      <c r="L2" s="6"/>
      <c r="M2" s="6"/>
    </row>
    <row r="3" spans="1:16" x14ac:dyDescent="0.25">
      <c r="F3" s="27"/>
      <c r="G3" s="27"/>
      <c r="H3" s="27"/>
      <c r="I3" s="27"/>
      <c r="J3" s="27"/>
      <c r="K3" s="27"/>
      <c r="M3" s="28" t="str">
        <f>IF($M$1="ENG","(UAH mln)","(млн грн)")</f>
        <v>(млн грн)</v>
      </c>
      <c r="N3" s="6"/>
    </row>
    <row r="4" spans="1:16" ht="38.4" customHeight="1" x14ac:dyDescent="0.25">
      <c r="B4" s="6"/>
      <c r="C4" s="6"/>
      <c r="D4" s="6"/>
      <c r="E4" s="76">
        <v>21</v>
      </c>
      <c r="F4" s="75">
        <f>INDEX('Data table'!$C$11:$C$32,E4,1)</f>
        <v>0</v>
      </c>
      <c r="G4" s="76">
        <v>21</v>
      </c>
      <c r="H4" s="75">
        <f>INDEX('Data table'!$C$11:$C$32,G4,1)</f>
        <v>0</v>
      </c>
      <c r="I4" s="76">
        <v>21</v>
      </c>
      <c r="J4" s="75">
        <f>INDEX('Data table'!$C$11:$C$32,I4,1)</f>
        <v>0</v>
      </c>
      <c r="K4" s="76">
        <v>21</v>
      </c>
      <c r="L4" s="75">
        <f>INDEX('Data table'!$C$11:$C$32,K4,1)</f>
        <v>0</v>
      </c>
      <c r="M4" s="70" t="str">
        <f>IF($M$1="ENG","All banks under resilience assessment","Усього за банками, що проходили оцінку стійкості")</f>
        <v>Усього за банками, що проходили оцінку стійкості</v>
      </c>
      <c r="N4" s="6"/>
      <c r="O4" s="6"/>
    </row>
    <row r="5" spans="1:16" ht="14.4" customHeight="1" x14ac:dyDescent="0.25">
      <c r="A5" s="6"/>
      <c r="B5" s="155" t="str">
        <f>IF($M$1="ENG","Required capital adequacy level","Необхідний рівень нормативів")</f>
        <v>Необхідний рівень нормативів</v>
      </c>
      <c r="C5" s="155" t="str">
        <f>IF($M$1="ENG","at the hurdle rate set at 0%","із урахуванням граничних рівнів нормативів, встановлених на рівні 0%")</f>
        <v>із урахуванням граничних рівнів нормативів, встановлених на рівні 0%</v>
      </c>
      <c r="D5" s="74" t="str">
        <f>IF($M$1="ENG","CAR","Н2")</f>
        <v>Н2</v>
      </c>
      <c r="E5" s="169" t="str">
        <f>IFERROR(INDEX('Data table'!$AE$11:$AE$32,MATCH(F$4,'Data table'!$C$11:$C$32,0),1),"")</f>
        <v/>
      </c>
      <c r="F5" s="170"/>
      <c r="G5" s="169" t="str">
        <f>IFERROR(INDEX('Data table'!$AE$11:$AE$30,MATCH(H$4,'Data table'!$C$11:$C$30,0),1),"")</f>
        <v/>
      </c>
      <c r="H5" s="170"/>
      <c r="I5" s="169" t="str">
        <f>IFERROR(INDEX('Data table'!$AE$11:$AE$30,MATCH(J$4,'Data table'!$C$11:$C$30,0),1),"")</f>
        <v/>
      </c>
      <c r="J5" s="170"/>
      <c r="K5" s="169" t="str">
        <f>IFERROR(INDEX('Data table'!$AE$11:$AE$30,MATCH(L$4,'Data table'!$C$11:$C$30,0),1),"")</f>
        <v/>
      </c>
      <c r="L5" s="170"/>
      <c r="M5" s="68">
        <f>SUMPRODUCT('Data table'!$O$11:$O$30,'Data table'!$AE$11:$AE$30)/SUM('Data table'!$O$11:$O$30)</f>
        <v>0.10519911816509862</v>
      </c>
    </row>
    <row r="6" spans="1:16" ht="25.2" customHeight="1" x14ac:dyDescent="0.25">
      <c r="A6" s="6"/>
      <c r="B6" s="156"/>
      <c r="C6" s="157"/>
      <c r="D6" s="73" t="str">
        <f>IF($M$1="ENG","Core capital ratio","Н3")</f>
        <v>Н3</v>
      </c>
      <c r="E6" s="169" t="str">
        <f>IFERROR(INDEX('Data table'!$AF$11:$AF$30,MATCH(F$4,'Data table'!$C$11:$C$30,0),1),"")</f>
        <v/>
      </c>
      <c r="F6" s="170"/>
      <c r="G6" s="169" t="str">
        <f>IFERROR(INDEX('Data table'!$AF$11:$AF$30,MATCH(H$4,'Data table'!$C$11:$C$30,0),1),"")</f>
        <v/>
      </c>
      <c r="H6" s="170"/>
      <c r="I6" s="169" t="str">
        <f>IFERROR(INDEX('Data table'!$AF$11:$AF$30,MATCH(J$4,'Data table'!$C$11:$C$30,0),1),"")</f>
        <v/>
      </c>
      <c r="J6" s="170"/>
      <c r="K6" s="169" t="str">
        <f>IFERROR(INDEX('Data table'!$AF$11:$AF$30,MATCH(L$4,'Data table'!$C$11:$C$30,0),1),"")</f>
        <v/>
      </c>
      <c r="L6" s="170"/>
      <c r="M6" s="68">
        <f>SUMPRODUCT('Data table'!$O$11:$O$30,'Data table'!$AF$11:$AF$30)/SUM('Data table'!$O$11:$O$30)</f>
        <v>7.5199118165098583E-2</v>
      </c>
      <c r="N6" s="6"/>
    </row>
    <row r="7" spans="1:16" ht="21" customHeight="1" x14ac:dyDescent="0.25">
      <c r="A7" s="6"/>
      <c r="B7" s="156"/>
      <c r="C7" s="173" t="str">
        <f>IF($M$1="ENG","at the hurdle rate at regulatory required minimum","із урахуванням граничних рівнів нормативів, встановлених на нормативному рівні")</f>
        <v>із урахуванням граничних рівнів нормативів, встановлених на нормативному рівні</v>
      </c>
      <c r="D7" s="74" t="str">
        <f>IF($M$1="ENG","CAR","Н2")</f>
        <v>Н2</v>
      </c>
      <c r="E7" s="169" t="str">
        <f>IFERROR(INDEX('Data table'!$AG$11:$AG$30,MATCH(F$4,'Data table'!$C$11:$C$30,0),1),"")</f>
        <v/>
      </c>
      <c r="F7" s="170"/>
      <c r="G7" s="169" t="str">
        <f>IFERROR(INDEX('Data table'!$AG$11:$AG$30,MATCH(H$4,'Data table'!$C$11:$C$30,0),1),"")</f>
        <v/>
      </c>
      <c r="H7" s="170"/>
      <c r="I7" s="169" t="str">
        <f>IFERROR(INDEX('Data table'!$AG$11:$AG$30,MATCH(J$4,'Data table'!$C$11:$C$30,0),1),"")</f>
        <v/>
      </c>
      <c r="J7" s="170"/>
      <c r="K7" s="169" t="str">
        <f>IFERROR(INDEX('Data table'!$AG$11:$AG$30,MATCH(L$4,'Data table'!$C$11:$C$30,0),1),"")</f>
        <v/>
      </c>
      <c r="L7" s="170"/>
      <c r="M7" s="68">
        <f>SUMPRODUCT('Data table'!$O$11:$O$30,'Data table'!$AG$11:$AG$30)/SUM('Data table'!$O$11:$O$30)</f>
        <v>0.11463348482538094</v>
      </c>
      <c r="N7" s="25"/>
    </row>
    <row r="8" spans="1:16" ht="16.95" customHeight="1" x14ac:dyDescent="0.25">
      <c r="A8" s="6"/>
      <c r="B8" s="156"/>
      <c r="C8" s="174"/>
      <c r="D8" s="73" t="str">
        <f>IF($M$1="ENG","Core capital ratio","Н3")</f>
        <v>Н3</v>
      </c>
      <c r="E8" s="169" t="str">
        <f>IFERROR(INDEX('Data table'!$AH$11:$AH$30,MATCH(F$4,'Data table'!$C$11:$C$30,0),1),"")</f>
        <v/>
      </c>
      <c r="F8" s="170"/>
      <c r="G8" s="169" t="str">
        <f>IFERROR(INDEX('Data table'!$AH$11:$AH$30,MATCH(H$4,'Data table'!$C$11:$C$30,0),1),"")</f>
        <v/>
      </c>
      <c r="H8" s="170"/>
      <c r="I8" s="169" t="str">
        <f>IFERROR(INDEX('Data table'!$AH$11:$AH$30,MATCH(J$4,'Data table'!$C$11:$C$30,0),1),"")</f>
        <v/>
      </c>
      <c r="J8" s="170"/>
      <c r="K8" s="169" t="str">
        <f>IFERROR(INDEX('Data table'!$AH$11:$AH$30,MATCH(L$4,'Data table'!$C$11:$C$30,0),1),"")</f>
        <v/>
      </c>
      <c r="L8" s="170"/>
      <c r="M8" s="68">
        <f>SUMPRODUCT('Data table'!$O$11:$O$30,'Data table'!$AH$11:$AH$30)/SUM('Data table'!$O$11:$O$30)</f>
        <v>8.4633484825380911E-2</v>
      </c>
      <c r="N8" s="25"/>
    </row>
    <row r="9" spans="1:16" ht="13.2" customHeight="1" x14ac:dyDescent="0.25">
      <c r="C9" s="171" t="str">
        <f>IF(M$1="ENG","Actual capital adequacy levels as of 1 Dec 2023","Фактичний рівень нормативів на 01.12.2023 р.")</f>
        <v>Фактичний рівень нормативів на 01.12.2023 р.</v>
      </c>
      <c r="D9" s="77" t="str">
        <f>IF($M$1="ENG","CAR","Н2")</f>
        <v>Н2</v>
      </c>
      <c r="E9" s="169" t="str">
        <f>IFERROR(INDEX('Data table'!$AI$11:$AI$30,MATCH(F$4,'Data table'!$C$11:$C$30,0),1),"")</f>
        <v/>
      </c>
      <c r="F9" s="170"/>
      <c r="G9" s="169" t="str">
        <f>IFERROR(INDEX('Data table'!$AI$11:$AI$30,MATCH(H$4,'Data table'!$C$11:$C$30,0),1),"")</f>
        <v/>
      </c>
      <c r="H9" s="170"/>
      <c r="I9" s="169" t="str">
        <f>IFERROR(INDEX('Data table'!$AI$11:$AI$30,MATCH(J$4,'Data table'!$C$11:$C$30,0),1),"")</f>
        <v/>
      </c>
      <c r="J9" s="170"/>
      <c r="K9" s="169" t="str">
        <f>IFERROR(INDEX('Data table'!$AI$11:$AI$30,MATCH(L$4,'Data table'!$C$11:$C$30,0),1),"")</f>
        <v/>
      </c>
      <c r="L9" s="170"/>
      <c r="M9" s="34"/>
      <c r="N9" s="6"/>
      <c r="O9" s="6"/>
    </row>
    <row r="10" spans="1:16" ht="13.2" customHeight="1" x14ac:dyDescent="0.25">
      <c r="C10" s="172"/>
      <c r="D10" s="78" t="str">
        <f>IF($M$1="ENG","Core capital ratio","Н3")</f>
        <v>Н3</v>
      </c>
      <c r="E10" s="169" t="str">
        <f>IFERROR(INDEX('Data table'!$AJ$11:$AJ$30,MATCH(F$4,'Data table'!$C$11:$C$30,0),1),"")</f>
        <v/>
      </c>
      <c r="F10" s="170"/>
      <c r="G10" s="169" t="str">
        <f>IFERROR(INDEX('Data table'!$AJ$11:$AJ$30,MATCH(H$4,'Data table'!$C$11:$C$30,0),1),"")</f>
        <v/>
      </c>
      <c r="H10" s="170"/>
      <c r="I10" s="169" t="str">
        <f>IFERROR(INDEX('Data table'!$AJ$11:$AJ$30,MATCH(J$4,'Data table'!$C$11:$C$30,0),1),"")</f>
        <v/>
      </c>
      <c r="J10" s="170"/>
      <c r="K10" s="169" t="str">
        <f>IFERROR(INDEX('Data table'!$AJ$11:$AJ$30,MATCH(L$4,'Data table'!$C$11:$C$30,0),1),"")</f>
        <v/>
      </c>
      <c r="L10" s="170"/>
    </row>
    <row r="12" spans="1:16" ht="31.2" customHeight="1" x14ac:dyDescent="0.25">
      <c r="B12" s="167" t="str">
        <f>IFERROR(IF(OR(COUNTIF($C$4:$P$4,"Альфа-Банк**")&gt;0,COUNTIF($C$4:$P$4,"Укрсоцбанк**")&gt;0,COUNTIF($C$4:$P$4,"Alfa-Bank**")&gt;0,COUNTIF($C$4:$P$4,"Ukrsotsbank**")&gt;0),'2021 data table'!$A$45,""),"")</f>
        <v/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79"/>
      <c r="O12" s="79"/>
      <c r="P12" s="79"/>
    </row>
    <row r="13" spans="1:16" ht="40.200000000000003" customHeight="1" x14ac:dyDescent="0.25">
      <c r="A13" s="57" t="str">
        <f>IF($M$1="ENG","Required capital adequacy level
","Необхідний рівень капіталу
")</f>
        <v xml:space="preserve">Необхідний рівень капіталу
</v>
      </c>
      <c r="C13" s="162" t="str">
        <f>IFERROR(CONCATENATE($A$13,$F$4),$A$13)</f>
        <v>Необхідний рівень капіталу
0</v>
      </c>
      <c r="D13" s="162"/>
      <c r="E13" s="162" t="str">
        <f>IFERROR(CONCATENATE($A$13,$H$4),$A$13)</f>
        <v>Необхідний рівень капіталу
0</v>
      </c>
      <c r="F13" s="162"/>
      <c r="G13" s="162"/>
      <c r="H13" s="162" t="str">
        <f>IFERROR(CONCATENATE($A$13,$J$4),$A$13)</f>
        <v>Необхідний рівень капіталу
0</v>
      </c>
      <c r="I13" s="162"/>
      <c r="J13" s="162"/>
      <c r="K13" s="162"/>
      <c r="L13" s="162" t="str">
        <f>IFERROR(CONCATENATE($A$13,$L$4),$A$13)</f>
        <v>Необхідний рівень капіталу
0</v>
      </c>
      <c r="M13" s="162"/>
    </row>
    <row r="21" spans="1:1" x14ac:dyDescent="0.25">
      <c r="A21" s="61"/>
    </row>
  </sheetData>
  <mergeCells count="33">
    <mergeCell ref="B12:M12"/>
    <mergeCell ref="C13:D13"/>
    <mergeCell ref="L13:M13"/>
    <mergeCell ref="E13:G13"/>
    <mergeCell ref="H13:K13"/>
    <mergeCell ref="K5:L5"/>
    <mergeCell ref="B5:B8"/>
    <mergeCell ref="I5:J5"/>
    <mergeCell ref="C5:C6"/>
    <mergeCell ref="C7:C8"/>
    <mergeCell ref="E7:F7"/>
    <mergeCell ref="G6:H6"/>
    <mergeCell ref="G7:H7"/>
    <mergeCell ref="E5:F5"/>
    <mergeCell ref="E6:F6"/>
    <mergeCell ref="G5:H5"/>
    <mergeCell ref="K6:L6"/>
    <mergeCell ref="K7:L7"/>
    <mergeCell ref="I6:J6"/>
    <mergeCell ref="K9:L9"/>
    <mergeCell ref="K10:L10"/>
    <mergeCell ref="C9:C10"/>
    <mergeCell ref="E10:F10"/>
    <mergeCell ref="I7:J7"/>
    <mergeCell ref="G9:H9"/>
    <mergeCell ref="G10:H10"/>
    <mergeCell ref="I9:J9"/>
    <mergeCell ref="I10:J10"/>
    <mergeCell ref="E8:F8"/>
    <mergeCell ref="G8:H8"/>
    <mergeCell ref="I8:J8"/>
    <mergeCell ref="K8:L8"/>
    <mergeCell ref="E9:F9"/>
  </mergeCells>
  <conditionalFormatting sqref="E6:F6 E9:F10">
    <cfRule type="cellIs" dxfId="32" priority="38" operator="equal">
      <formula>0.07</formula>
    </cfRule>
  </conditionalFormatting>
  <conditionalFormatting sqref="G9:L10">
    <cfRule type="cellIs" dxfId="31" priority="35" operator="equal">
      <formula>0.07</formula>
    </cfRule>
  </conditionalFormatting>
  <conditionalFormatting sqref="E7:F7">
    <cfRule type="cellIs" dxfId="30" priority="30" operator="greaterThan">
      <formula>0.1</formula>
    </cfRule>
    <cfRule type="cellIs" dxfId="29" priority="31" operator="equal">
      <formula>0.1</formula>
    </cfRule>
  </conditionalFormatting>
  <conditionalFormatting sqref="G7:H7">
    <cfRule type="cellIs" dxfId="28" priority="28" operator="greaterThan">
      <formula>0.1</formula>
    </cfRule>
    <cfRule type="cellIs" dxfId="27" priority="29" operator="equal">
      <formula>0.1</formula>
    </cfRule>
  </conditionalFormatting>
  <conditionalFormatting sqref="I7:J7">
    <cfRule type="cellIs" dxfId="26" priority="26" operator="greaterThan">
      <formula>0.1</formula>
    </cfRule>
    <cfRule type="cellIs" dxfId="25" priority="27" operator="equal">
      <formula>0.1</formula>
    </cfRule>
  </conditionalFormatting>
  <conditionalFormatting sqref="K7:L7">
    <cfRule type="cellIs" dxfId="24" priority="24" operator="greaterThan">
      <formula>0.1</formula>
    </cfRule>
    <cfRule type="cellIs" dxfId="23" priority="25" operator="equal">
      <formula>0.1</formula>
    </cfRule>
  </conditionalFormatting>
  <conditionalFormatting sqref="I5:J5">
    <cfRule type="cellIs" dxfId="22" priority="22" operator="greaterThan">
      <formula>0.1</formula>
    </cfRule>
    <cfRule type="cellIs" dxfId="21" priority="23" operator="equal">
      <formula>0.1</formula>
    </cfRule>
  </conditionalFormatting>
  <conditionalFormatting sqref="K5:L5">
    <cfRule type="cellIs" dxfId="20" priority="20" operator="greaterThan">
      <formula>0.1</formula>
    </cfRule>
    <cfRule type="cellIs" dxfId="19" priority="21" operator="equal">
      <formula>0.1</formula>
    </cfRule>
  </conditionalFormatting>
  <conditionalFormatting sqref="G5:H5">
    <cfRule type="cellIs" dxfId="18" priority="18" operator="greaterThan">
      <formula>0.1</formula>
    </cfRule>
    <cfRule type="cellIs" dxfId="17" priority="19" operator="equal">
      <formula>0.1</formula>
    </cfRule>
  </conditionalFormatting>
  <conditionalFormatting sqref="E5:F5">
    <cfRule type="cellIs" dxfId="16" priority="16" operator="greaterThan">
      <formula>0.1</formula>
    </cfRule>
    <cfRule type="cellIs" dxfId="15" priority="17" operator="equal">
      <formula>0.1</formula>
    </cfRule>
  </conditionalFormatting>
  <conditionalFormatting sqref="E6:F6">
    <cfRule type="cellIs" dxfId="14" priority="15" operator="greaterThan">
      <formula>0.07</formula>
    </cfRule>
  </conditionalFormatting>
  <conditionalFormatting sqref="G6:H6">
    <cfRule type="cellIs" dxfId="13" priority="14" operator="equal">
      <formula>0.07</formula>
    </cfRule>
  </conditionalFormatting>
  <conditionalFormatting sqref="G6:H6">
    <cfRule type="cellIs" dxfId="12" priority="13" operator="greaterThan">
      <formula>0.07</formula>
    </cfRule>
  </conditionalFormatting>
  <conditionalFormatting sqref="I6:J6">
    <cfRule type="cellIs" dxfId="11" priority="12" operator="equal">
      <formula>0.07</formula>
    </cfRule>
  </conditionalFormatting>
  <conditionalFormatting sqref="I6:J6">
    <cfRule type="cellIs" dxfId="10" priority="11" operator="greaterThan">
      <formula>0.07</formula>
    </cfRule>
  </conditionalFormatting>
  <conditionalFormatting sqref="K6:L6">
    <cfRule type="cellIs" dxfId="9" priority="10" operator="equal">
      <formula>0.07</formula>
    </cfRule>
  </conditionalFormatting>
  <conditionalFormatting sqref="K6:L6">
    <cfRule type="cellIs" dxfId="8" priority="9" operator="greaterThan">
      <formula>0.07</formula>
    </cfRule>
  </conditionalFormatting>
  <conditionalFormatting sqref="E8:F8">
    <cfRule type="cellIs" dxfId="7" priority="8" operator="equal">
      <formula>0.07</formula>
    </cfRule>
  </conditionalFormatting>
  <conditionalFormatting sqref="E8:F8">
    <cfRule type="cellIs" dxfId="6" priority="7" operator="greaterThan">
      <formula>0.07</formula>
    </cfRule>
  </conditionalFormatting>
  <conditionalFormatting sqref="G8:H8">
    <cfRule type="cellIs" dxfId="5" priority="6" operator="equal">
      <formula>0.07</formula>
    </cfRule>
  </conditionalFormatting>
  <conditionalFormatting sqref="G8:H8">
    <cfRule type="cellIs" dxfId="4" priority="5" operator="greaterThan">
      <formula>0.07</formula>
    </cfRule>
  </conditionalFormatting>
  <conditionalFormatting sqref="I8:J8">
    <cfRule type="cellIs" dxfId="3" priority="4" operator="equal">
      <formula>0.07</formula>
    </cfRule>
  </conditionalFormatting>
  <conditionalFormatting sqref="I8:J8">
    <cfRule type="cellIs" dxfId="2" priority="3" operator="greaterThan">
      <formula>0.07</formula>
    </cfRule>
  </conditionalFormatting>
  <conditionalFormatting sqref="K8:L8">
    <cfRule type="cellIs" dxfId="1" priority="2" operator="equal">
      <formula>0.07</formula>
    </cfRule>
  </conditionalFormatting>
  <conditionalFormatting sqref="K8:L8">
    <cfRule type="cellIs" dxfId="0" priority="1" operator="greaterThan">
      <formula>0.07</formula>
    </cfRule>
  </conditionalFormatting>
  <pageMargins left="0.7" right="0.7" top="0.75" bottom="0.75" header="0.3" footer="0.3"/>
  <pageSetup paperSize="9" orientation="portrait" r:id="rId1"/>
  <ignoredErrors>
    <ignoredError sqref="D6:D10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Drop Down 4">
              <controlPr defaultSize="0" autoLine="0" autoPict="0">
                <anchor moveWithCells="1">
                  <from>
                    <xdr:col>4</xdr:col>
                    <xdr:colOff>22860</xdr:colOff>
                    <xdr:row>3</xdr:row>
                    <xdr:rowOff>106680</xdr:rowOff>
                  </from>
                  <to>
                    <xdr:col>6</xdr:col>
                    <xdr:colOff>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Drop Down 5">
              <controlPr defaultSize="0" autoLine="0" autoPict="0">
                <anchor moveWithCells="1">
                  <from>
                    <xdr:col>6</xdr:col>
                    <xdr:colOff>53340</xdr:colOff>
                    <xdr:row>3</xdr:row>
                    <xdr:rowOff>99060</xdr:rowOff>
                  </from>
                  <to>
                    <xdr:col>7</xdr:col>
                    <xdr:colOff>632460</xdr:colOff>
                    <xdr:row>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Drop Down 7">
              <controlPr defaultSize="0" autoLine="0" autoPict="0">
                <anchor moveWithCells="1">
                  <from>
                    <xdr:col>8</xdr:col>
                    <xdr:colOff>53340</xdr:colOff>
                    <xdr:row>3</xdr:row>
                    <xdr:rowOff>99060</xdr:rowOff>
                  </from>
                  <to>
                    <xdr:col>9</xdr:col>
                    <xdr:colOff>1272540</xdr:colOff>
                    <xdr:row>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Drop Down 8">
              <controlPr defaultSize="0" autoLine="0" autoPict="0">
                <anchor moveWithCells="1">
                  <from>
                    <xdr:col>10</xdr:col>
                    <xdr:colOff>76200</xdr:colOff>
                    <xdr:row>3</xdr:row>
                    <xdr:rowOff>99060</xdr:rowOff>
                  </from>
                  <to>
                    <xdr:col>11</xdr:col>
                    <xdr:colOff>1310640</xdr:colOff>
                    <xdr:row>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8" name="Drop Down 10">
              <controlPr defaultSize="0" autoLine="0" autoPict="0">
                <anchor moveWithCells="1">
                  <from>
                    <xdr:col>12</xdr:col>
                    <xdr:colOff>426720</xdr:colOff>
                    <xdr:row>0</xdr:row>
                    <xdr:rowOff>7620</xdr:rowOff>
                  </from>
                  <to>
                    <xdr:col>13</xdr:col>
                    <xdr:colOff>7620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9" name="Drop Down 11">
              <controlPr defaultSize="0" autoLine="0" autoPict="0">
                <anchor moveWithCells="1">
                  <from>
                    <xdr:col>6</xdr:col>
                    <xdr:colOff>22860</xdr:colOff>
                    <xdr:row>3</xdr:row>
                    <xdr:rowOff>106680</xdr:rowOff>
                  </from>
                  <to>
                    <xdr:col>8</xdr:col>
                    <xdr:colOff>68580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0" name="Drop Down 12">
              <controlPr defaultSize="0" autoLine="0" autoPict="0">
                <anchor moveWithCells="1">
                  <from>
                    <xdr:col>8</xdr:col>
                    <xdr:colOff>22860</xdr:colOff>
                    <xdr:row>3</xdr:row>
                    <xdr:rowOff>106680</xdr:rowOff>
                  </from>
                  <to>
                    <xdr:col>10</xdr:col>
                    <xdr:colOff>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Drop Down 13">
              <controlPr defaultSize="0" autoLine="0" autoPict="0">
                <anchor moveWithCells="1">
                  <from>
                    <xdr:col>10</xdr:col>
                    <xdr:colOff>22860</xdr:colOff>
                    <xdr:row>3</xdr:row>
                    <xdr:rowOff>106680</xdr:rowOff>
                  </from>
                  <to>
                    <xdr:col>11</xdr:col>
                    <xdr:colOff>1287780</xdr:colOff>
                    <xdr:row>3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35"/>
  <sheetViews>
    <sheetView showGridLines="0" zoomScale="70" zoomScaleNormal="70" workbookViewId="0"/>
  </sheetViews>
  <sheetFormatPr defaultColWidth="9.21875" defaultRowHeight="13.2" x14ac:dyDescent="0.25"/>
  <cols>
    <col min="1" max="2" width="9.21875" style="129"/>
    <col min="3" max="3" width="29.33203125" style="129" bestFit="1" customWidth="1"/>
    <col min="4" max="4" width="32.6640625" style="129" bestFit="1" customWidth="1"/>
    <col min="5" max="5" width="16.6640625" style="129" bestFit="1" customWidth="1"/>
    <col min="6" max="6" width="14.88671875" style="129" bestFit="1" customWidth="1"/>
    <col min="7" max="8" width="9.21875" style="129"/>
    <col min="9" max="9" width="13.77734375" style="129" hidden="1" customWidth="1"/>
    <col min="10" max="10" width="15.33203125" style="129" customWidth="1"/>
    <col min="11" max="11" width="14.5546875" style="129" customWidth="1"/>
    <col min="12" max="12" width="16.6640625" style="129" bestFit="1" customWidth="1"/>
    <col min="13" max="14" width="11.33203125" style="129" customWidth="1"/>
    <col min="15" max="15" width="11.33203125" style="129" hidden="1" customWidth="1"/>
    <col min="16" max="16" width="16.6640625" style="129" bestFit="1" customWidth="1"/>
    <col min="17" max="21" width="17.6640625" style="129" bestFit="1" customWidth="1"/>
    <col min="22" max="27" width="9.21875" style="129"/>
    <col min="28" max="28" width="12" style="129" hidden="1" customWidth="1"/>
    <col min="29" max="30" width="10.88671875" style="129" hidden="1" customWidth="1"/>
    <col min="31" max="31" width="13.109375" style="129" customWidth="1"/>
    <col min="32" max="32" width="12.44140625" style="129" customWidth="1"/>
    <col min="33" max="33" width="13" style="129" customWidth="1"/>
    <col min="34" max="34" width="12.5546875" style="129" customWidth="1"/>
    <col min="35" max="36" width="9" style="129" customWidth="1"/>
    <col min="37" max="40" width="17.5546875" style="129" bestFit="1" customWidth="1"/>
    <col min="41" max="41" width="9.21875" style="129"/>
    <col min="42" max="42" width="16.44140625" style="129" bestFit="1" customWidth="1"/>
    <col min="43" max="16384" width="9.21875" style="129"/>
  </cols>
  <sheetData>
    <row r="1" spans="1:42" x14ac:dyDescent="0.25">
      <c r="J1" s="52" t="str">
        <f>'Individual banks'!K1</f>
        <v>UA</v>
      </c>
      <c r="K1" s="130" t="str">
        <f>IF($J$1="ENG","Змінити мову тут","Change language here")</f>
        <v>Change language here</v>
      </c>
    </row>
    <row r="2" spans="1:42" s="1" customFormat="1" x14ac:dyDescent="0.25">
      <c r="A2" s="131" t="s">
        <v>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</row>
    <row r="3" spans="1:42" s="1" customFormat="1" x14ac:dyDescent="0.25">
      <c r="AH3" s="132"/>
    </row>
    <row r="4" spans="1:42" s="133" customFormat="1" ht="31.5" customHeight="1" x14ac:dyDescent="0.25">
      <c r="A4" s="179" t="str">
        <f>IF($J$1="ENG","#","№ з/п")</f>
        <v>№ з/п</v>
      </c>
      <c r="B4" s="182" t="str">
        <f>IF($J$1="ENG","NKB","НКБ")</f>
        <v>НКБ</v>
      </c>
      <c r="C4" s="185" t="str">
        <f>IF($J$1="ENG","Name","Назва")</f>
        <v>Назва</v>
      </c>
      <c r="D4" s="185" t="str">
        <f>IF($J$1="ENG","Group","Група")</f>
        <v>Група</v>
      </c>
      <c r="E4" s="197" t="str">
        <f>IF($J$1="ENG","Bank's data","Дані банку")</f>
        <v>Дані банку</v>
      </c>
      <c r="F4" s="198"/>
      <c r="G4" s="198"/>
      <c r="H4" s="198"/>
      <c r="I4" s="199"/>
      <c r="J4" s="197" t="str">
        <f>IF($J$1="ENG","Asset quality review","Дані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K4" s="198"/>
      <c r="L4" s="198"/>
      <c r="M4" s="198"/>
      <c r="N4" s="198"/>
      <c r="O4" s="199"/>
      <c r="P4" s="197" t="str">
        <f>IF($J$1="ENG","Baseline scenario","За базовим макроекономічним сценарієм")</f>
        <v>За базовим макроекономічним сценарієм</v>
      </c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88" t="str">
        <f>IF($J$1="ENG","Required capital adequacy level based on resilience assessment","Необхідний рівень нормативів за результатами оцінки стійкості")</f>
        <v>Необхідний рівень нормативів за результатами оцінки стійкості</v>
      </c>
      <c r="AF4" s="189"/>
      <c r="AG4" s="189"/>
      <c r="AH4" s="190"/>
      <c r="AI4" s="175" t="str">
        <f>IF($J$1="ENG","Memo: capital adequacy ratios as of 1 Dec 2023","Довідково: нормативи достатності капіталу на 01.12.2023 р.")</f>
        <v>Довідково: нормативи достатності капіталу на 01.12.2023 р.</v>
      </c>
      <c r="AJ4" s="175"/>
    </row>
    <row r="5" spans="1:42" s="133" customFormat="1" ht="43.5" customHeight="1" x14ac:dyDescent="0.25">
      <c r="A5" s="180"/>
      <c r="B5" s="183"/>
      <c r="C5" s="186"/>
      <c r="D5" s="186"/>
      <c r="E5" s="200"/>
      <c r="F5" s="201"/>
      <c r="G5" s="201"/>
      <c r="H5" s="201"/>
      <c r="I5" s="202"/>
      <c r="J5" s="200"/>
      <c r="K5" s="201"/>
      <c r="L5" s="201"/>
      <c r="M5" s="201"/>
      <c r="N5" s="201"/>
      <c r="O5" s="202"/>
      <c r="P5" s="200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191"/>
      <c r="AF5" s="192"/>
      <c r="AG5" s="192"/>
      <c r="AH5" s="193"/>
      <c r="AI5" s="175"/>
      <c r="AJ5" s="175"/>
    </row>
    <row r="6" spans="1:42" s="133" customFormat="1" ht="82.5" customHeight="1" x14ac:dyDescent="0.25">
      <c r="A6" s="180"/>
      <c r="B6" s="183"/>
      <c r="C6" s="186"/>
      <c r="D6" s="186"/>
      <c r="E6" s="127" t="str">
        <f>IF($J$1="ENG","Core capital, UAH mln","ОК, млн грн")</f>
        <v>ОК, млн грн</v>
      </c>
      <c r="F6" s="127" t="str">
        <f>IF($J$1="ENG","Regulatory capital, UAH mln","РК, млн грн")</f>
        <v>РК, млн грн</v>
      </c>
      <c r="G6" s="127" t="str">
        <f>IF($J$1="ENG","CAR","Н2")</f>
        <v>Н2</v>
      </c>
      <c r="H6" s="127" t="str">
        <f>IF($J$1="ENG","Core capital ratio","Н3")</f>
        <v>Н3</v>
      </c>
      <c r="I6" s="37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J6" s="127" t="str">
        <f>IF($J$1="ENG","extrapolation (yes/no)","екстраполяція (так/ні)")</f>
        <v>екстраполяція (так/ні)</v>
      </c>
      <c r="K6" s="127" t="str">
        <f>E6</f>
        <v>ОК, млн грн</v>
      </c>
      <c r="L6" s="127" t="str">
        <f>F6</f>
        <v>РК, млн грн</v>
      </c>
      <c r="M6" s="127" t="str">
        <f>G6</f>
        <v>Н2</v>
      </c>
      <c r="N6" s="127" t="str">
        <f>H6</f>
        <v>Н3</v>
      </c>
      <c r="O6" s="37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P6" s="194" t="str">
        <f>E6</f>
        <v>ОК, млн грн</v>
      </c>
      <c r="Q6" s="195"/>
      <c r="R6" s="196"/>
      <c r="S6" s="194" t="str">
        <f>F6</f>
        <v>РК, млн грн</v>
      </c>
      <c r="T6" s="195"/>
      <c r="U6" s="196"/>
      <c r="V6" s="194" t="str">
        <f>M6</f>
        <v>Н2</v>
      </c>
      <c r="W6" s="195"/>
      <c r="X6" s="196"/>
      <c r="Y6" s="194" t="str">
        <f>H6</f>
        <v>Н3</v>
      </c>
      <c r="Z6" s="195"/>
      <c r="AA6" s="196"/>
      <c r="AB6" s="209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C6" s="210"/>
      <c r="AD6" s="211"/>
      <c r="AE6" s="175" t="str">
        <f>IF($J$1="ENG","at the hurdle rate set at 0, %","із урахуванням граничних рівнів нормативів, встановлених на рівні нуль, %")</f>
        <v>із урахуванням граничних рівнів нормативів, встановлених на рівні нуль, %</v>
      </c>
      <c r="AF6" s="175"/>
      <c r="AG6" s="175" t="str">
        <f>IF($J$1="ENG","at the hurdle rate at regulatory required minimum, %","із урахуванням граничних рівнів нормативів, встановлених на нормативному рівні, %")</f>
        <v>із урахуванням граничних рівнів нормативів, встановлених на нормативному рівні, %</v>
      </c>
      <c r="AH6" s="175"/>
      <c r="AI6" s="175"/>
      <c r="AJ6" s="175"/>
    </row>
    <row r="7" spans="1:42" s="133" customFormat="1" ht="15.45" customHeight="1" x14ac:dyDescent="0.25">
      <c r="A7" s="180"/>
      <c r="B7" s="183"/>
      <c r="C7" s="186"/>
      <c r="D7" s="186"/>
      <c r="E7" s="203" t="str">
        <f>IF($J$1="ENG","reporting period 1 Apr 2023","звітний період (на 01.04.2023)")</f>
        <v>звітний період (на 01.04.2023)</v>
      </c>
      <c r="F7" s="204"/>
      <c r="G7" s="204"/>
      <c r="H7" s="204"/>
      <c r="I7" s="205"/>
      <c r="J7" s="203" t="str">
        <f>IF($J$1="ENG","reporting period 1 Apr 2023","звітний період (на 01.04.2023)")</f>
        <v>звітний період (на 01.04.2023)</v>
      </c>
      <c r="K7" s="204"/>
      <c r="L7" s="204"/>
      <c r="M7" s="204"/>
      <c r="N7" s="204"/>
      <c r="O7" s="205"/>
      <c r="P7" s="127" t="str">
        <f>IF($J$1="ENG","1st","1-й")</f>
        <v>1-й</v>
      </c>
      <c r="Q7" s="127" t="str">
        <f>IF($J$1="ENG","2nd","2-й")</f>
        <v>2-й</v>
      </c>
      <c r="R7" s="127" t="str">
        <f>IF($J$1="ENG","3rd","3-й")</f>
        <v>3-й</v>
      </c>
      <c r="S7" s="127" t="str">
        <f>IF($J$1="ENG","1st","1-й")</f>
        <v>1-й</v>
      </c>
      <c r="T7" s="127" t="str">
        <f>IF($J$1="ENG","2nd","2-й")</f>
        <v>2-й</v>
      </c>
      <c r="U7" s="127" t="str">
        <f>IF($J$1="ENG","3rd","3-й")</f>
        <v>3-й</v>
      </c>
      <c r="V7" s="127" t="str">
        <f>IF($J$1="ENG","1st","1-й")</f>
        <v>1-й</v>
      </c>
      <c r="W7" s="127" t="str">
        <f>IF($J$1="ENG","2nd","2-й")</f>
        <v>2-й</v>
      </c>
      <c r="X7" s="127" t="str">
        <f>IF($J$1="ENG","3rd","3-й")</f>
        <v>3-й</v>
      </c>
      <c r="Y7" s="127" t="str">
        <f>IF($J$1="ENG","1st","1-й")</f>
        <v>1-й</v>
      </c>
      <c r="Z7" s="127" t="str">
        <f>IF($J$1="ENG","2nd","2-й")</f>
        <v>2-й</v>
      </c>
      <c r="AA7" s="127" t="str">
        <f>IF($J$1="ENG","3rd","3-й")</f>
        <v>3-й</v>
      </c>
      <c r="AB7" s="127" t="str">
        <f>IF($J$1="ENG","1st","1-й")</f>
        <v>1-й</v>
      </c>
      <c r="AC7" s="127" t="str">
        <f>IF($J$1="ENG","2nd","2-й")</f>
        <v>2-й</v>
      </c>
      <c r="AD7" s="127" t="str">
        <f>IF($J$1="ENG","3rd","3-й")</f>
        <v>3-й</v>
      </c>
      <c r="AE7" s="176" t="str">
        <f>IF($J$1="ENG","CAR","Н2")</f>
        <v>Н2</v>
      </c>
      <c r="AF7" s="176" t="str">
        <f>IF($J$1="ENG","Core capital ratio","Н3")</f>
        <v>Н3</v>
      </c>
      <c r="AG7" s="176" t="str">
        <f>IF($J$1="ENG","CAR","Н2")</f>
        <v>Н2</v>
      </c>
      <c r="AH7" s="176" t="str">
        <f>IF($J$1="ENG","Core capital ratio","Н3")</f>
        <v>Н3</v>
      </c>
      <c r="AI7" s="176" t="str">
        <f>IF($J$1="ENG","CAR","Н2")</f>
        <v>Н2</v>
      </c>
      <c r="AJ7" s="176" t="str">
        <f>IF($J$1="ENG","Core capital ratio","Н3")</f>
        <v>Н3</v>
      </c>
    </row>
    <row r="8" spans="1:42" s="133" customFormat="1" ht="15.6" customHeight="1" x14ac:dyDescent="0.25">
      <c r="A8" s="181"/>
      <c r="B8" s="184"/>
      <c r="C8" s="187"/>
      <c r="D8" s="187"/>
      <c r="E8" s="206"/>
      <c r="F8" s="207"/>
      <c r="G8" s="207"/>
      <c r="H8" s="207"/>
      <c r="I8" s="208"/>
      <c r="J8" s="206"/>
      <c r="K8" s="207"/>
      <c r="L8" s="207"/>
      <c r="M8" s="207"/>
      <c r="N8" s="207"/>
      <c r="O8" s="208"/>
      <c r="P8" s="178" t="str">
        <f>IF($J$1="ENG","forecast year","прогнозний рік")</f>
        <v>прогнозний рік</v>
      </c>
      <c r="Q8" s="178"/>
      <c r="R8" s="178"/>
      <c r="S8" s="178" t="str">
        <f>IF($J$1="ENG","forecast year","прогнозний рік")</f>
        <v>прогнозний рік</v>
      </c>
      <c r="T8" s="178"/>
      <c r="U8" s="178"/>
      <c r="V8" s="178" t="str">
        <f>IF($J$1="ENG","forecast year","прогнозний рік")</f>
        <v>прогнозний рік</v>
      </c>
      <c r="W8" s="178"/>
      <c r="X8" s="178"/>
      <c r="Y8" s="178" t="str">
        <f>IF($J$1="ENG","forecast year","прогнозний рік")</f>
        <v>прогнозний рік</v>
      </c>
      <c r="Z8" s="178"/>
      <c r="AA8" s="178"/>
      <c r="AB8" s="178" t="str">
        <f>IF($J$1="ENG","forecast year","прогнозний рік")</f>
        <v>прогнозний рік</v>
      </c>
      <c r="AC8" s="178"/>
      <c r="AD8" s="178"/>
      <c r="AE8" s="177"/>
      <c r="AF8" s="177"/>
      <c r="AG8" s="177"/>
      <c r="AH8" s="177"/>
      <c r="AI8" s="177"/>
      <c r="AJ8" s="177"/>
    </row>
    <row r="9" spans="1:42" s="133" customFormat="1" x14ac:dyDescent="0.25">
      <c r="A9" s="134">
        <v>1</v>
      </c>
      <c r="B9" s="134">
        <v>2</v>
      </c>
      <c r="C9" s="134">
        <v>3</v>
      </c>
      <c r="D9" s="134">
        <v>4</v>
      </c>
      <c r="E9" s="134">
        <v>5</v>
      </c>
      <c r="F9" s="134">
        <v>6</v>
      </c>
      <c r="G9" s="134">
        <v>7</v>
      </c>
      <c r="H9" s="134">
        <v>8</v>
      </c>
      <c r="I9" s="134"/>
      <c r="J9" s="134">
        <v>9</v>
      </c>
      <c r="K9" s="134">
        <v>10</v>
      </c>
      <c r="L9" s="134">
        <v>11</v>
      </c>
      <c r="M9" s="134">
        <v>12</v>
      </c>
      <c r="N9" s="134">
        <v>13</v>
      </c>
      <c r="O9" s="134"/>
      <c r="P9" s="134">
        <v>14</v>
      </c>
      <c r="Q9" s="134">
        <v>15</v>
      </c>
      <c r="R9" s="134">
        <v>16</v>
      </c>
      <c r="S9" s="134">
        <v>17</v>
      </c>
      <c r="T9" s="134">
        <v>18</v>
      </c>
      <c r="U9" s="134">
        <v>19</v>
      </c>
      <c r="V9" s="134">
        <v>20</v>
      </c>
      <c r="W9" s="134">
        <v>21</v>
      </c>
      <c r="X9" s="134">
        <v>22</v>
      </c>
      <c r="Y9" s="134">
        <v>23</v>
      </c>
      <c r="Z9" s="134">
        <v>24</v>
      </c>
      <c r="AA9" s="134">
        <v>25</v>
      </c>
      <c r="AB9" s="134"/>
      <c r="AC9" s="134"/>
      <c r="AD9" s="134"/>
      <c r="AE9" s="134">
        <v>26</v>
      </c>
      <c r="AF9" s="134">
        <v>27</v>
      </c>
      <c r="AG9" s="134">
        <v>28</v>
      </c>
      <c r="AH9" s="134">
        <v>29</v>
      </c>
      <c r="AI9" s="128">
        <v>48</v>
      </c>
      <c r="AJ9" s="128">
        <v>49</v>
      </c>
    </row>
    <row r="10" spans="1:42" s="133" customFormat="1" x14ac:dyDescent="0.25"/>
    <row r="11" spans="1:42" s="133" customFormat="1" x14ac:dyDescent="0.25">
      <c r="A11" s="135">
        <v>1</v>
      </c>
      <c r="B11" s="135">
        <v>46</v>
      </c>
      <c r="C11" s="33" t="str">
        <f>IF($J$1="ENG","Privatbank","Приватбанк")</f>
        <v>Приватбанк</v>
      </c>
      <c r="D11" s="3" t="str">
        <f>IF($J$1="ENG","State-owned banks","Банки з державною часткою")</f>
        <v>Банки з державною часткою</v>
      </c>
      <c r="E11" s="136">
        <v>27248.17</v>
      </c>
      <c r="F11" s="136">
        <v>54466.095999999998</v>
      </c>
      <c r="G11" s="137">
        <v>0.23449999999999999</v>
      </c>
      <c r="H11" s="137">
        <v>0.1173</v>
      </c>
      <c r="I11" s="136">
        <f t="shared" ref="I11:I30" si="0">E11/H11</f>
        <v>232294.71440750212</v>
      </c>
      <c r="J11" s="147" t="s">
        <v>6</v>
      </c>
      <c r="K11" s="136">
        <v>27248.17</v>
      </c>
      <c r="L11" s="136">
        <v>54466.095999999998</v>
      </c>
      <c r="M11" s="137">
        <v>0.23449999999999999</v>
      </c>
      <c r="N11" s="137">
        <v>0.1173</v>
      </c>
      <c r="O11" s="136">
        <f t="shared" ref="O11:O30" si="1">K11/N11</f>
        <v>232294.71440750212</v>
      </c>
      <c r="P11" s="136">
        <v>99257.888999999996</v>
      </c>
      <c r="Q11" s="136">
        <v>137557.87599999999</v>
      </c>
      <c r="R11" s="136">
        <v>170105.36199999999</v>
      </c>
      <c r="S11" s="136">
        <v>110362.63499999999</v>
      </c>
      <c r="T11" s="136">
        <v>148662.62100000001</v>
      </c>
      <c r="U11" s="136">
        <v>181210.10699999999</v>
      </c>
      <c r="V11" s="137">
        <v>0.45200000000000001</v>
      </c>
      <c r="W11" s="137">
        <v>0.60329999999999995</v>
      </c>
      <c r="X11" s="137">
        <v>0.73250000000000004</v>
      </c>
      <c r="Y11" s="137">
        <v>0.40660000000000002</v>
      </c>
      <c r="Z11" s="137">
        <v>0.55820000000000003</v>
      </c>
      <c r="AA11" s="137">
        <v>0.68759999999999999</v>
      </c>
      <c r="AB11" s="136">
        <f t="shared" ref="AB11:AB30" si="2">P11/Y11</f>
        <v>244116.79537629118</v>
      </c>
      <c r="AC11" s="136">
        <f t="shared" ref="AC11:AC30" si="3">Q11/Z11</f>
        <v>246431.16445718377</v>
      </c>
      <c r="AD11" s="136">
        <f t="shared" ref="AD11:AD30" si="4">R11/AA11</f>
        <v>247389.99709133216</v>
      </c>
      <c r="AE11" s="138">
        <v>0.1</v>
      </c>
      <c r="AF11" s="138">
        <v>7.0000000000000007E-2</v>
      </c>
      <c r="AG11" s="138">
        <v>0.1</v>
      </c>
      <c r="AH11" s="138">
        <v>7.0000000000000007E-2</v>
      </c>
      <c r="AI11" s="139">
        <v>0.26904410438643778</v>
      </c>
      <c r="AJ11" s="139">
        <v>0.13458317850883406</v>
      </c>
      <c r="AP11" s="140"/>
    </row>
    <row r="12" spans="1:42" s="133" customFormat="1" x14ac:dyDescent="0.25">
      <c r="A12" s="135">
        <v>2</v>
      </c>
      <c r="B12" s="135">
        <v>6</v>
      </c>
      <c r="C12" s="33" t="str">
        <f>IF($J$1="ENG","Oschadbank","Ощадбанк")</f>
        <v>Ощадбанк</v>
      </c>
      <c r="D12" s="3" t="str">
        <f>IF($J$1="ENG","State-owned banks","Банки з державною часткою")</f>
        <v>Банки з державною часткою</v>
      </c>
      <c r="E12" s="136">
        <v>14155.266</v>
      </c>
      <c r="F12" s="136">
        <v>19649.802</v>
      </c>
      <c r="G12" s="137">
        <v>0.1424</v>
      </c>
      <c r="H12" s="137">
        <v>0.1026</v>
      </c>
      <c r="I12" s="136">
        <f t="shared" si="0"/>
        <v>137965.55555555556</v>
      </c>
      <c r="J12" s="147" t="s">
        <v>6</v>
      </c>
      <c r="K12" s="136">
        <v>14155.266</v>
      </c>
      <c r="L12" s="136">
        <v>19649.802</v>
      </c>
      <c r="M12" s="137">
        <v>0.1424</v>
      </c>
      <c r="N12" s="137">
        <v>0.1026</v>
      </c>
      <c r="O12" s="136">
        <f t="shared" si="1"/>
        <v>137965.55555555556</v>
      </c>
      <c r="P12" s="136">
        <v>23903.113000000001</v>
      </c>
      <c r="Q12" s="136">
        <v>27512.378000000001</v>
      </c>
      <c r="R12" s="136">
        <v>28468.123</v>
      </c>
      <c r="S12" s="136">
        <v>25159.878000000001</v>
      </c>
      <c r="T12" s="136">
        <v>28769.143</v>
      </c>
      <c r="U12" s="136">
        <v>29724.887999999999</v>
      </c>
      <c r="V12" s="137">
        <v>0.18029999999999999</v>
      </c>
      <c r="W12" s="137">
        <v>0.26419999999999999</v>
      </c>
      <c r="X12" s="137">
        <v>0.2964</v>
      </c>
      <c r="Y12" s="137">
        <v>0.17130000000000001</v>
      </c>
      <c r="Z12" s="137">
        <v>0.25259999999999999</v>
      </c>
      <c r="AA12" s="137">
        <v>0.28389999999999999</v>
      </c>
      <c r="AB12" s="136">
        <f t="shared" si="2"/>
        <v>139539.48044366608</v>
      </c>
      <c r="AC12" s="136">
        <f t="shared" si="3"/>
        <v>108916.77751385591</v>
      </c>
      <c r="AD12" s="136">
        <f t="shared" si="4"/>
        <v>100275.17787953505</v>
      </c>
      <c r="AE12" s="138">
        <v>0.1</v>
      </c>
      <c r="AF12" s="138">
        <v>7.0000000000000007E-2</v>
      </c>
      <c r="AG12" s="138">
        <v>0.1</v>
      </c>
      <c r="AH12" s="138">
        <v>7.0000000000000007E-2</v>
      </c>
      <c r="AI12" s="139">
        <v>0.18962145456110438</v>
      </c>
      <c r="AJ12" s="139">
        <v>9.4993690560503344E-2</v>
      </c>
      <c r="AP12" s="140"/>
    </row>
    <row r="13" spans="1:42" s="133" customFormat="1" x14ac:dyDescent="0.25">
      <c r="A13" s="135">
        <v>3</v>
      </c>
      <c r="B13" s="135">
        <v>36</v>
      </c>
      <c r="C13" s="33" t="str">
        <f>IF($J$1="ENG","Raiffeisen Bank","Райффайзен Банк")</f>
        <v>Райффайзен Банк</v>
      </c>
      <c r="D13" s="3" t="str">
        <f t="shared" ref="D13" si="5">IF($J$1="ENG","Foreign banks","Банки іноземних банківських груп")</f>
        <v>Банки іноземних банківських груп</v>
      </c>
      <c r="E13" s="136">
        <v>12702.519</v>
      </c>
      <c r="F13" s="136">
        <v>16438.018</v>
      </c>
      <c r="G13" s="141">
        <v>0.1925</v>
      </c>
      <c r="H13" s="141">
        <v>0.1487</v>
      </c>
      <c r="I13" s="136">
        <f t="shared" si="0"/>
        <v>85423.799596503028</v>
      </c>
      <c r="J13" s="134" t="s">
        <v>6</v>
      </c>
      <c r="K13" s="136">
        <v>12702.519</v>
      </c>
      <c r="L13" s="136">
        <v>16438.018</v>
      </c>
      <c r="M13" s="137">
        <v>0.1925</v>
      </c>
      <c r="N13" s="137">
        <v>0.1487</v>
      </c>
      <c r="O13" s="136">
        <f t="shared" si="1"/>
        <v>85423.799596503028</v>
      </c>
      <c r="P13" s="136">
        <v>21220.577000000001</v>
      </c>
      <c r="Q13" s="136">
        <v>26934.276999999998</v>
      </c>
      <c r="R13" s="136">
        <v>30691.653999999999</v>
      </c>
      <c r="S13" s="136">
        <v>21455.485000000001</v>
      </c>
      <c r="T13" s="136">
        <v>27169.185000000001</v>
      </c>
      <c r="U13" s="136">
        <v>30926.562000000002</v>
      </c>
      <c r="V13" s="137">
        <v>0.25380000000000003</v>
      </c>
      <c r="W13" s="137">
        <v>0.32240000000000002</v>
      </c>
      <c r="X13" s="137">
        <v>0.36930000000000002</v>
      </c>
      <c r="Y13" s="137">
        <v>0.251</v>
      </c>
      <c r="Z13" s="137">
        <v>0.3196</v>
      </c>
      <c r="AA13" s="137">
        <v>0.36649999999999999</v>
      </c>
      <c r="AB13" s="136">
        <f t="shared" si="2"/>
        <v>84544.131474103589</v>
      </c>
      <c r="AC13" s="136">
        <f t="shared" si="3"/>
        <v>84274.959324155192</v>
      </c>
      <c r="AD13" s="136">
        <f t="shared" si="4"/>
        <v>83742.575716234656</v>
      </c>
      <c r="AE13" s="138">
        <v>0.1</v>
      </c>
      <c r="AF13" s="138">
        <v>7.0000000000000007E-2</v>
      </c>
      <c r="AG13" s="138">
        <v>0.1</v>
      </c>
      <c r="AH13" s="138">
        <v>7.0000000000000007E-2</v>
      </c>
      <c r="AI13" s="139">
        <v>0.2836819778945211</v>
      </c>
      <c r="AJ13" s="139">
        <v>0.17633761794251973</v>
      </c>
      <c r="AP13" s="140"/>
    </row>
    <row r="14" spans="1:42" x14ac:dyDescent="0.25">
      <c r="A14" s="135">
        <v>4</v>
      </c>
      <c r="B14" s="135">
        <v>272</v>
      </c>
      <c r="C14" s="33" t="str">
        <f>IF($J$1="ENG","Sense","Сенс")</f>
        <v>Сенс</v>
      </c>
      <c r="D14" s="3" t="str">
        <f>IF($J$1="ENG","State-owned banks","Банки з державною часткою")</f>
        <v>Банки з державною часткою</v>
      </c>
      <c r="E14" s="136">
        <v>4957.5519999999997</v>
      </c>
      <c r="F14" s="136">
        <v>6441.9480000000003</v>
      </c>
      <c r="G14" s="141">
        <v>0.1135</v>
      </c>
      <c r="H14" s="141">
        <v>8.7400000000000005E-2</v>
      </c>
      <c r="I14" s="136">
        <f t="shared" si="0"/>
        <v>56722.56292906178</v>
      </c>
      <c r="J14" s="134" t="s">
        <v>7</v>
      </c>
      <c r="K14" s="136">
        <v>2840.096</v>
      </c>
      <c r="L14" s="136">
        <v>4324.4920000000002</v>
      </c>
      <c r="M14" s="137">
        <v>7.9200000000000007E-2</v>
      </c>
      <c r="N14" s="137">
        <v>5.1999999999999998E-2</v>
      </c>
      <c r="O14" s="136">
        <f t="shared" si="1"/>
        <v>54617.230769230773</v>
      </c>
      <c r="P14" s="136">
        <v>2624.8629999999998</v>
      </c>
      <c r="Q14" s="136">
        <v>3041.2959999999998</v>
      </c>
      <c r="R14" s="136">
        <v>2811.5369999999998</v>
      </c>
      <c r="S14" s="136">
        <v>3882.5160000000001</v>
      </c>
      <c r="T14" s="136">
        <v>3900.9479999999999</v>
      </c>
      <c r="U14" s="136">
        <v>3256.19</v>
      </c>
      <c r="V14" s="137">
        <v>7.1199999999999999E-2</v>
      </c>
      <c r="W14" s="137">
        <v>7.1800000000000003E-2</v>
      </c>
      <c r="X14" s="137">
        <v>6.0600000000000001E-2</v>
      </c>
      <c r="Y14" s="137">
        <v>4.8099999999999997E-2</v>
      </c>
      <c r="Z14" s="137">
        <v>5.6000000000000001E-2</v>
      </c>
      <c r="AA14" s="137">
        <v>5.2299999999999999E-2</v>
      </c>
      <c r="AB14" s="136">
        <f t="shared" si="2"/>
        <v>54570.956340956342</v>
      </c>
      <c r="AC14" s="136">
        <f t="shared" si="3"/>
        <v>54308.857142857138</v>
      </c>
      <c r="AD14" s="136">
        <f t="shared" si="4"/>
        <v>53757.877629063092</v>
      </c>
      <c r="AE14" s="138">
        <v>0.1</v>
      </c>
      <c r="AF14" s="138">
        <v>7.0000000000000007E-2</v>
      </c>
      <c r="AG14" s="138">
        <v>0.104</v>
      </c>
      <c r="AH14" s="138">
        <v>7.3999999999999996E-2</v>
      </c>
      <c r="AI14" s="142">
        <v>0.17237311785576306</v>
      </c>
      <c r="AJ14" s="142">
        <v>0.17193008024127593</v>
      </c>
      <c r="AP14" s="140"/>
    </row>
    <row r="15" spans="1:42" x14ac:dyDescent="0.25">
      <c r="A15" s="135">
        <v>5</v>
      </c>
      <c r="B15" s="135">
        <v>242</v>
      </c>
      <c r="C15" s="33" t="str">
        <f>IF($J$1="ENG","Universal","Універсал")</f>
        <v>Універсал</v>
      </c>
      <c r="D15" s="3" t="str">
        <f t="shared" ref="D15:D16" si="6">IF($J$1="ENG","Private banks","Банки з приватним капіталом")</f>
        <v>Банки з приватним капіталом</v>
      </c>
      <c r="E15" s="136">
        <v>6509.7259999999997</v>
      </c>
      <c r="F15" s="136">
        <v>9474.8119999999999</v>
      </c>
      <c r="G15" s="141">
        <v>0.24010000000000001</v>
      </c>
      <c r="H15" s="141">
        <v>0.16489999999999999</v>
      </c>
      <c r="I15" s="136">
        <f t="shared" si="0"/>
        <v>39476.81018799272</v>
      </c>
      <c r="J15" s="134" t="s">
        <v>6</v>
      </c>
      <c r="K15" s="136">
        <v>6509.7259999999997</v>
      </c>
      <c r="L15" s="136">
        <v>9474.8119999999999</v>
      </c>
      <c r="M15" s="137">
        <v>0.24010000000000001</v>
      </c>
      <c r="N15" s="137">
        <v>0.16489999999999999</v>
      </c>
      <c r="O15" s="136">
        <f t="shared" si="1"/>
        <v>39476.81018799272</v>
      </c>
      <c r="P15" s="136">
        <v>15256.994000000001</v>
      </c>
      <c r="Q15" s="136">
        <v>19521.026000000002</v>
      </c>
      <c r="R15" s="136">
        <v>22853.397000000001</v>
      </c>
      <c r="S15" s="136">
        <v>15256.994000000001</v>
      </c>
      <c r="T15" s="136">
        <v>19521.026000000002</v>
      </c>
      <c r="U15" s="136">
        <v>22853.397000000001</v>
      </c>
      <c r="V15" s="137">
        <v>0.3775</v>
      </c>
      <c r="W15" s="137">
        <v>0.49259999999999998</v>
      </c>
      <c r="X15" s="137">
        <v>0.59079999999999999</v>
      </c>
      <c r="Y15" s="137">
        <v>0.3775</v>
      </c>
      <c r="Z15" s="137">
        <v>0.49259999999999998</v>
      </c>
      <c r="AA15" s="137">
        <v>0.59079999999999999</v>
      </c>
      <c r="AB15" s="136">
        <f t="shared" si="2"/>
        <v>40415.878145695366</v>
      </c>
      <c r="AC15" s="136">
        <f t="shared" si="3"/>
        <v>39628.554608201383</v>
      </c>
      <c r="AD15" s="136">
        <f t="shared" si="4"/>
        <v>38682.120853080574</v>
      </c>
      <c r="AE15" s="138">
        <v>0.1</v>
      </c>
      <c r="AF15" s="138">
        <v>7.0000000000000007E-2</v>
      </c>
      <c r="AG15" s="138">
        <v>0.1</v>
      </c>
      <c r="AH15" s="138">
        <v>7.0000000000000007E-2</v>
      </c>
      <c r="AI15" s="142">
        <v>0.2874816343437227</v>
      </c>
      <c r="AJ15" s="142">
        <v>0.16959576704350138</v>
      </c>
      <c r="AP15" s="140"/>
    </row>
    <row r="16" spans="1:42" x14ac:dyDescent="0.25">
      <c r="A16" s="135">
        <v>6</v>
      </c>
      <c r="B16" s="135">
        <v>115</v>
      </c>
      <c r="C16" s="33" t="str">
        <f>IF($J$1="ENG","FUIB","ПУМБ")</f>
        <v>ПУМБ</v>
      </c>
      <c r="D16" s="3" t="str">
        <f t="shared" si="6"/>
        <v>Банки з приватним капіталом</v>
      </c>
      <c r="E16" s="136">
        <v>7228.1239999999998</v>
      </c>
      <c r="F16" s="136">
        <v>12426.688</v>
      </c>
      <c r="G16" s="141">
        <v>0.20630000000000001</v>
      </c>
      <c r="H16" s="141">
        <v>0.12</v>
      </c>
      <c r="I16" s="136">
        <f t="shared" si="0"/>
        <v>60234.366666666669</v>
      </c>
      <c r="J16" s="134" t="s">
        <v>6</v>
      </c>
      <c r="K16" s="136">
        <v>7228.1239999999998</v>
      </c>
      <c r="L16" s="136">
        <v>12426.688</v>
      </c>
      <c r="M16" s="137">
        <v>0.20630000000000001</v>
      </c>
      <c r="N16" s="137">
        <v>0.12</v>
      </c>
      <c r="O16" s="136">
        <f t="shared" si="1"/>
        <v>60234.366666666669</v>
      </c>
      <c r="P16" s="136">
        <v>14179.003000000001</v>
      </c>
      <c r="Q16" s="136">
        <v>16193.385</v>
      </c>
      <c r="R16" s="136">
        <v>16822.646000000001</v>
      </c>
      <c r="S16" s="136">
        <v>14449.066999999999</v>
      </c>
      <c r="T16" s="136">
        <v>16463.45</v>
      </c>
      <c r="U16" s="136">
        <v>17092.71</v>
      </c>
      <c r="V16" s="137">
        <v>0.24049999999999999</v>
      </c>
      <c r="W16" s="137">
        <v>0.27779999999999999</v>
      </c>
      <c r="X16" s="137">
        <v>0.29399999999999998</v>
      </c>
      <c r="Y16" s="137">
        <v>0.23599999999999999</v>
      </c>
      <c r="Z16" s="137">
        <v>0.2732</v>
      </c>
      <c r="AA16" s="137">
        <v>0.2893</v>
      </c>
      <c r="AB16" s="136">
        <f t="shared" si="2"/>
        <v>60080.521186440681</v>
      </c>
      <c r="AC16" s="136">
        <f t="shared" si="3"/>
        <v>59273.005124450952</v>
      </c>
      <c r="AD16" s="136">
        <f t="shared" si="4"/>
        <v>58149.484963705501</v>
      </c>
      <c r="AE16" s="138">
        <v>0.1</v>
      </c>
      <c r="AF16" s="138">
        <v>7.0000000000000007E-2</v>
      </c>
      <c r="AG16" s="138">
        <v>0.1</v>
      </c>
      <c r="AH16" s="138">
        <v>7.0000000000000007E-2</v>
      </c>
      <c r="AI16" s="142">
        <v>0.22657675441155697</v>
      </c>
      <c r="AJ16" s="142">
        <v>0.1133418312236886</v>
      </c>
      <c r="AP16" s="140"/>
    </row>
    <row r="17" spans="1:42" x14ac:dyDescent="0.25">
      <c r="A17" s="135">
        <v>7</v>
      </c>
      <c r="B17" s="135">
        <v>2</v>
      </c>
      <c r="C17" s="33" t="str">
        <f>IF($J$1="ENG","Ukreximbank","Укрексімбанк")</f>
        <v>Укрексімбанк</v>
      </c>
      <c r="D17" s="3" t="str">
        <f>IF($J$1="ENG","State-owned banks","Банки з державною часткою")</f>
        <v>Банки з державною часткою</v>
      </c>
      <c r="E17" s="136">
        <v>4274.9430000000002</v>
      </c>
      <c r="F17" s="136">
        <v>8132.5159999999996</v>
      </c>
      <c r="G17" s="141">
        <v>8.7800000000000003E-2</v>
      </c>
      <c r="H17" s="141">
        <v>4.6100000000000002E-2</v>
      </c>
      <c r="I17" s="136">
        <f t="shared" si="0"/>
        <v>92731.95227765727</v>
      </c>
      <c r="J17" s="134" t="s">
        <v>7</v>
      </c>
      <c r="K17" s="136">
        <v>2712.46</v>
      </c>
      <c r="L17" s="136">
        <v>5402.37</v>
      </c>
      <c r="M17" s="137">
        <v>5.9299999999999999E-2</v>
      </c>
      <c r="N17" s="137">
        <v>2.98E-2</v>
      </c>
      <c r="O17" s="136">
        <f t="shared" si="1"/>
        <v>91022.147651006715</v>
      </c>
      <c r="P17" s="136">
        <v>-3351.38</v>
      </c>
      <c r="Q17" s="136">
        <v>-5125.9459999999999</v>
      </c>
      <c r="R17" s="136">
        <v>-7449.6750000000002</v>
      </c>
      <c r="S17" s="136">
        <v>-3373.931</v>
      </c>
      <c r="T17" s="136">
        <v>-5148.4960000000001</v>
      </c>
      <c r="U17" s="136">
        <v>-7472.2259999999997</v>
      </c>
      <c r="V17" s="137">
        <v>-3.6700000000000003E-2</v>
      </c>
      <c r="W17" s="137">
        <v>-5.5500000000000001E-2</v>
      </c>
      <c r="X17" s="137">
        <v>-8.0399999999999999E-2</v>
      </c>
      <c r="Y17" s="137">
        <v>-3.6499999999999998E-2</v>
      </c>
      <c r="Z17" s="137">
        <v>-5.5300000000000002E-2</v>
      </c>
      <c r="AA17" s="137">
        <v>-8.0100000000000005E-2</v>
      </c>
      <c r="AB17" s="136">
        <f t="shared" si="2"/>
        <v>91818.630136986307</v>
      </c>
      <c r="AC17" s="136">
        <f t="shared" si="3"/>
        <v>92693.417721518985</v>
      </c>
      <c r="AD17" s="136">
        <f t="shared" si="4"/>
        <v>93004.681647940073</v>
      </c>
      <c r="AE17" s="138">
        <v>0.14199999999999999</v>
      </c>
      <c r="AF17" s="138">
        <v>0.112</v>
      </c>
      <c r="AG17" s="138">
        <v>0.21299999999999999</v>
      </c>
      <c r="AH17" s="138">
        <v>0.183</v>
      </c>
      <c r="AI17" s="142">
        <v>0.12679320047874909</v>
      </c>
      <c r="AJ17" s="142">
        <v>8.10472181760125E-2</v>
      </c>
      <c r="AP17" s="140"/>
    </row>
    <row r="18" spans="1:42" x14ac:dyDescent="0.25">
      <c r="A18" s="135">
        <v>8</v>
      </c>
      <c r="B18" s="135">
        <v>274</v>
      </c>
      <c r="C18" s="33" t="str">
        <f>IF($J$1="ENG","Ukrgasbank","Укргазбанк")</f>
        <v>Укргазбанк</v>
      </c>
      <c r="D18" s="3" t="str">
        <f>IF($J$1="ENG","State-owned banks","Банки з державною часткою")</f>
        <v>Банки з державною часткою</v>
      </c>
      <c r="E18" s="136">
        <v>8308.6239999999998</v>
      </c>
      <c r="F18" s="136">
        <v>8368.0360000000001</v>
      </c>
      <c r="G18" s="141">
        <v>0.1206</v>
      </c>
      <c r="H18" s="141">
        <v>0.1197</v>
      </c>
      <c r="I18" s="136">
        <f t="shared" si="0"/>
        <v>69412.063492063491</v>
      </c>
      <c r="J18" s="134" t="s">
        <v>6</v>
      </c>
      <c r="K18" s="136">
        <v>8308.6239999999998</v>
      </c>
      <c r="L18" s="136">
        <v>8368.0360000000001</v>
      </c>
      <c r="M18" s="137">
        <v>0.1206</v>
      </c>
      <c r="N18" s="137">
        <v>0.1197</v>
      </c>
      <c r="O18" s="136">
        <f t="shared" si="1"/>
        <v>69412.063492063491</v>
      </c>
      <c r="P18" s="136">
        <v>6720.5749999999998</v>
      </c>
      <c r="Q18" s="136">
        <v>7238.1580000000004</v>
      </c>
      <c r="R18" s="136">
        <v>6407.5510000000004</v>
      </c>
      <c r="S18" s="136">
        <v>6779.9870000000001</v>
      </c>
      <c r="T18" s="136">
        <v>7297.57</v>
      </c>
      <c r="U18" s="136">
        <v>6466.9629999999997</v>
      </c>
      <c r="V18" s="137">
        <v>9.8199999999999996E-2</v>
      </c>
      <c r="W18" s="137">
        <v>0.1052</v>
      </c>
      <c r="X18" s="137">
        <v>9.4200000000000006E-2</v>
      </c>
      <c r="Y18" s="137">
        <v>9.7299999999999998E-2</v>
      </c>
      <c r="Z18" s="137">
        <v>0.10440000000000001</v>
      </c>
      <c r="AA18" s="137">
        <v>9.3399999999999997E-2</v>
      </c>
      <c r="AB18" s="136">
        <f t="shared" si="2"/>
        <v>69070.657759506677</v>
      </c>
      <c r="AC18" s="136">
        <f t="shared" si="3"/>
        <v>69331.015325670494</v>
      </c>
      <c r="AD18" s="136">
        <f t="shared" si="4"/>
        <v>68603.329764453971</v>
      </c>
      <c r="AE18" s="138">
        <v>0.1</v>
      </c>
      <c r="AF18" s="138">
        <v>7.0000000000000007E-2</v>
      </c>
      <c r="AG18" s="138">
        <v>0.127</v>
      </c>
      <c r="AH18" s="138">
        <v>9.7000000000000003E-2</v>
      </c>
      <c r="AI18" s="142">
        <v>0.17410614212955977</v>
      </c>
      <c r="AJ18" s="142">
        <v>0.12724520083057214</v>
      </c>
      <c r="AP18" s="140"/>
    </row>
    <row r="19" spans="1:42" x14ac:dyDescent="0.25">
      <c r="A19" s="135">
        <v>9</v>
      </c>
      <c r="B19" s="135">
        <v>296</v>
      </c>
      <c r="C19" s="33" t="str">
        <f>IF($J$1="ENG","OTP Bank","ОТП Банк")</f>
        <v>ОТП Банк</v>
      </c>
      <c r="D19" s="3" t="str">
        <f t="shared" ref="D19:D22" si="7">IF($J$1="ENG","Foreign banks","Банки іноземних банківських груп")</f>
        <v>Банки іноземних банківських груп</v>
      </c>
      <c r="E19" s="136">
        <v>7234.1540000000005</v>
      </c>
      <c r="F19" s="136">
        <v>12315.262000000001</v>
      </c>
      <c r="G19" s="141">
        <v>0.32500000000000001</v>
      </c>
      <c r="H19" s="141">
        <v>0.19089999999999999</v>
      </c>
      <c r="I19" s="136">
        <f t="shared" si="0"/>
        <v>37894.992142482981</v>
      </c>
      <c r="J19" s="134" t="s">
        <v>6</v>
      </c>
      <c r="K19" s="136">
        <v>7234.1540000000005</v>
      </c>
      <c r="L19" s="136">
        <v>12315.262000000001</v>
      </c>
      <c r="M19" s="137">
        <v>0.32500000000000001</v>
      </c>
      <c r="N19" s="137">
        <v>0.19089999999999999</v>
      </c>
      <c r="O19" s="136">
        <f t="shared" si="1"/>
        <v>37894.992142482981</v>
      </c>
      <c r="P19" s="136">
        <v>17946.133999999998</v>
      </c>
      <c r="Q19" s="136">
        <v>22160.483</v>
      </c>
      <c r="R19" s="136">
        <v>25202.842000000001</v>
      </c>
      <c r="S19" s="136">
        <v>17806.991000000002</v>
      </c>
      <c r="T19" s="136">
        <v>22021.34</v>
      </c>
      <c r="U19" s="136">
        <v>25063.699000000001</v>
      </c>
      <c r="V19" s="137">
        <v>0.45150000000000001</v>
      </c>
      <c r="W19" s="137">
        <v>0.55940000000000001</v>
      </c>
      <c r="X19" s="137">
        <v>0.64080000000000004</v>
      </c>
      <c r="Y19" s="137">
        <v>0.45500000000000002</v>
      </c>
      <c r="Z19" s="137">
        <v>0.56289999999999996</v>
      </c>
      <c r="AA19" s="137">
        <v>0.64439999999999997</v>
      </c>
      <c r="AB19" s="136">
        <f t="shared" si="2"/>
        <v>39442.052747252739</v>
      </c>
      <c r="AC19" s="136">
        <f t="shared" si="3"/>
        <v>39368.418902114056</v>
      </c>
      <c r="AD19" s="136">
        <f t="shared" si="4"/>
        <v>39110.555555555555</v>
      </c>
      <c r="AE19" s="138">
        <v>0.1</v>
      </c>
      <c r="AF19" s="138">
        <v>7.0000000000000007E-2</v>
      </c>
      <c r="AG19" s="138">
        <v>0.1</v>
      </c>
      <c r="AH19" s="138">
        <v>7.0000000000000007E-2</v>
      </c>
      <c r="AI19" s="142">
        <v>0.42540845829663143</v>
      </c>
      <c r="AJ19" s="142">
        <v>0.21475817269994624</v>
      </c>
      <c r="AP19" s="140"/>
    </row>
    <row r="20" spans="1:42" x14ac:dyDescent="0.25">
      <c r="A20" s="135">
        <v>10</v>
      </c>
      <c r="B20" s="135">
        <v>136</v>
      </c>
      <c r="C20" s="33" t="str">
        <f>IF($J$1="ENG","Ukrsibbank","УкрСиббанк")</f>
        <v>УкрСиббанк</v>
      </c>
      <c r="D20" s="3" t="str">
        <f t="shared" si="7"/>
        <v>Банки іноземних банківських груп</v>
      </c>
      <c r="E20" s="136">
        <v>8808.06</v>
      </c>
      <c r="F20" s="136">
        <v>14118.703</v>
      </c>
      <c r="G20" s="137">
        <v>0.45379999999999998</v>
      </c>
      <c r="H20" s="137">
        <v>0.28310000000000002</v>
      </c>
      <c r="I20" s="136">
        <f t="shared" si="0"/>
        <v>31112.892970681733</v>
      </c>
      <c r="J20" s="147" t="s">
        <v>6</v>
      </c>
      <c r="K20" s="136">
        <v>8808.06</v>
      </c>
      <c r="L20" s="136">
        <v>14118.703</v>
      </c>
      <c r="M20" s="137">
        <v>0.45379999999999998</v>
      </c>
      <c r="N20" s="137">
        <v>0.28310000000000002</v>
      </c>
      <c r="O20" s="136">
        <f t="shared" si="1"/>
        <v>31112.892970681733</v>
      </c>
      <c r="P20" s="136">
        <v>19063.767</v>
      </c>
      <c r="Q20" s="136">
        <v>23092.300999999999</v>
      </c>
      <c r="R20" s="136">
        <v>25680.649000000001</v>
      </c>
      <c r="S20" s="136">
        <v>19068.615000000002</v>
      </c>
      <c r="T20" s="136">
        <v>23097.148000000001</v>
      </c>
      <c r="U20" s="136">
        <v>25685.496999999999</v>
      </c>
      <c r="V20" s="137">
        <v>0.5917</v>
      </c>
      <c r="W20" s="137">
        <v>0.71350000000000002</v>
      </c>
      <c r="X20" s="137">
        <v>0.79310000000000003</v>
      </c>
      <c r="Y20" s="137">
        <v>0.59150000000000003</v>
      </c>
      <c r="Z20" s="137">
        <v>0.71330000000000005</v>
      </c>
      <c r="AA20" s="137">
        <v>0.79300000000000004</v>
      </c>
      <c r="AB20" s="136">
        <f t="shared" si="2"/>
        <v>32229.530008453083</v>
      </c>
      <c r="AC20" s="136">
        <f t="shared" si="3"/>
        <v>32373.897378382164</v>
      </c>
      <c r="AD20" s="136">
        <f t="shared" si="4"/>
        <v>32384.172761664566</v>
      </c>
      <c r="AE20" s="138">
        <v>0.1</v>
      </c>
      <c r="AF20" s="138">
        <v>7.0000000000000007E-2</v>
      </c>
      <c r="AG20" s="138">
        <v>0.1</v>
      </c>
      <c r="AH20" s="138">
        <v>7.0000000000000007E-2</v>
      </c>
      <c r="AI20" s="142">
        <v>0.6471940313415061</v>
      </c>
      <c r="AJ20" s="142">
        <v>0.32362054951212799</v>
      </c>
      <c r="AP20" s="140"/>
    </row>
    <row r="21" spans="1:42" x14ac:dyDescent="0.25">
      <c r="A21" s="135">
        <v>11</v>
      </c>
      <c r="B21" s="135">
        <v>171</v>
      </c>
      <c r="C21" s="33" t="str">
        <f>IF($J$1="ENG","Credit Agricole Bank","Креді Агріколь Банк")</f>
        <v>Креді Агріколь Банк</v>
      </c>
      <c r="D21" s="3" t="str">
        <f t="shared" si="7"/>
        <v>Банки іноземних банківських груп</v>
      </c>
      <c r="E21" s="136">
        <v>5564.8549999999996</v>
      </c>
      <c r="F21" s="136">
        <v>6061.2780000000002</v>
      </c>
      <c r="G21" s="137">
        <v>0.17899999999999999</v>
      </c>
      <c r="H21" s="137">
        <v>0.1643</v>
      </c>
      <c r="I21" s="136">
        <f t="shared" si="0"/>
        <v>33870.085209981735</v>
      </c>
      <c r="J21" s="147" t="s">
        <v>6</v>
      </c>
      <c r="K21" s="136">
        <v>5564.8549999999996</v>
      </c>
      <c r="L21" s="136">
        <v>6061.2780000000002</v>
      </c>
      <c r="M21" s="137">
        <v>0.17899999999999999</v>
      </c>
      <c r="N21" s="137">
        <v>0.1643</v>
      </c>
      <c r="O21" s="136">
        <f t="shared" si="1"/>
        <v>33870.085209981735</v>
      </c>
      <c r="P21" s="136">
        <v>9531.33</v>
      </c>
      <c r="Q21" s="136">
        <v>12752.813</v>
      </c>
      <c r="R21" s="136">
        <v>15107.322</v>
      </c>
      <c r="S21" s="136">
        <v>9855.9</v>
      </c>
      <c r="T21" s="136">
        <v>12919.503000000001</v>
      </c>
      <c r="U21" s="136">
        <v>15191.012000000001</v>
      </c>
      <c r="V21" s="137">
        <v>0.28360000000000002</v>
      </c>
      <c r="W21" s="137">
        <v>0.36749999999999999</v>
      </c>
      <c r="X21" s="137">
        <v>0.42909999999999998</v>
      </c>
      <c r="Y21" s="137">
        <v>0.27429999999999999</v>
      </c>
      <c r="Z21" s="137">
        <v>0.36280000000000001</v>
      </c>
      <c r="AA21" s="137">
        <v>0.42670000000000002</v>
      </c>
      <c r="AB21" s="136">
        <f t="shared" si="2"/>
        <v>34747.830842143638</v>
      </c>
      <c r="AC21" s="136">
        <f t="shared" si="3"/>
        <v>35151.083241455344</v>
      </c>
      <c r="AD21" s="136">
        <f t="shared" si="4"/>
        <v>35405.019920318722</v>
      </c>
      <c r="AE21" s="138">
        <v>0.1</v>
      </c>
      <c r="AF21" s="138">
        <v>7.0000000000000007E-2</v>
      </c>
      <c r="AG21" s="138">
        <v>0.1</v>
      </c>
      <c r="AH21" s="138">
        <v>7.0000000000000007E-2</v>
      </c>
      <c r="AI21" s="142">
        <v>0.30220243570477556</v>
      </c>
      <c r="AJ21" s="142">
        <v>0.18325642667822137</v>
      </c>
      <c r="AP21" s="140"/>
    </row>
    <row r="22" spans="1:42" x14ac:dyDescent="0.25">
      <c r="A22" s="135">
        <v>12</v>
      </c>
      <c r="B22" s="135">
        <v>88</v>
      </c>
      <c r="C22" s="33" t="str">
        <f>IF($J$1="ENG","Kredobank","Кредобанк")</f>
        <v>Кредобанк</v>
      </c>
      <c r="D22" s="3" t="str">
        <f t="shared" si="7"/>
        <v>Банки іноземних банківських груп</v>
      </c>
      <c r="E22" s="136">
        <v>3481.3879999999999</v>
      </c>
      <c r="F22" s="136">
        <v>3912.2150000000001</v>
      </c>
      <c r="G22" s="137">
        <v>0.24790000000000001</v>
      </c>
      <c r="H22" s="137">
        <v>0.22059999999999999</v>
      </c>
      <c r="I22" s="136">
        <f t="shared" si="0"/>
        <v>15781.450589301905</v>
      </c>
      <c r="J22" s="147" t="s">
        <v>6</v>
      </c>
      <c r="K22" s="136">
        <v>3481.3879999999999</v>
      </c>
      <c r="L22" s="136">
        <v>3912.2150000000001</v>
      </c>
      <c r="M22" s="137">
        <v>0.24790000000000001</v>
      </c>
      <c r="N22" s="137">
        <v>0.22059999999999999</v>
      </c>
      <c r="O22" s="136">
        <f t="shared" si="1"/>
        <v>15781.450589301905</v>
      </c>
      <c r="P22" s="136">
        <v>4874.87</v>
      </c>
      <c r="Q22" s="136">
        <v>6024.1620000000003</v>
      </c>
      <c r="R22" s="136">
        <v>6788.0159999999996</v>
      </c>
      <c r="S22" s="136">
        <v>4963.7809999999999</v>
      </c>
      <c r="T22" s="136">
        <v>6113.0730000000003</v>
      </c>
      <c r="U22" s="136">
        <v>6876.9269999999997</v>
      </c>
      <c r="V22" s="137">
        <v>0.3165</v>
      </c>
      <c r="W22" s="137">
        <v>0.39040000000000002</v>
      </c>
      <c r="X22" s="137">
        <v>0.44119999999999998</v>
      </c>
      <c r="Y22" s="137">
        <v>0.31080000000000002</v>
      </c>
      <c r="Z22" s="137">
        <v>0.38469999999999999</v>
      </c>
      <c r="AA22" s="137">
        <v>0.4355</v>
      </c>
      <c r="AB22" s="136">
        <f t="shared" si="2"/>
        <v>15684.909909909909</v>
      </c>
      <c r="AC22" s="136">
        <f t="shared" si="3"/>
        <v>15659.376137249807</v>
      </c>
      <c r="AD22" s="136">
        <f t="shared" si="4"/>
        <v>15586.718714121698</v>
      </c>
      <c r="AE22" s="138">
        <v>0.1</v>
      </c>
      <c r="AF22" s="138">
        <v>7.0000000000000007E-2</v>
      </c>
      <c r="AG22" s="138">
        <v>0.1</v>
      </c>
      <c r="AH22" s="138">
        <v>7.0000000000000007E-2</v>
      </c>
      <c r="AI22" s="142">
        <v>0.38368079156249846</v>
      </c>
      <c r="AJ22" s="142">
        <v>0.2514094196398482</v>
      </c>
      <c r="AP22" s="140"/>
    </row>
    <row r="23" spans="1:42" x14ac:dyDescent="0.25">
      <c r="A23" s="135">
        <v>13</v>
      </c>
      <c r="B23" s="135">
        <v>96</v>
      </c>
      <c r="C23" s="33" t="str">
        <f>IF($J$1="ENG","A-Bank","А - Банк")</f>
        <v>А - Банк</v>
      </c>
      <c r="D23" s="3" t="str">
        <f t="shared" ref="D23:D24" si="8">IF($J$1="ENG","Private banks","Банки з приватним капіталом")</f>
        <v>Банки з приватним капіталом</v>
      </c>
      <c r="E23" s="136">
        <v>1768.19</v>
      </c>
      <c r="F23" s="136">
        <v>2305.4659999999999</v>
      </c>
      <c r="G23" s="137">
        <v>0.2162</v>
      </c>
      <c r="H23" s="137">
        <v>0.1658</v>
      </c>
      <c r="I23" s="136">
        <f t="shared" si="0"/>
        <v>10664.5958986731</v>
      </c>
      <c r="J23" s="147" t="s">
        <v>6</v>
      </c>
      <c r="K23" s="136">
        <v>1768.19</v>
      </c>
      <c r="L23" s="136">
        <v>2305.4659999999999</v>
      </c>
      <c r="M23" s="137">
        <v>0.2162</v>
      </c>
      <c r="N23" s="137">
        <v>0.1658</v>
      </c>
      <c r="O23" s="136">
        <f t="shared" si="1"/>
        <v>10664.5958986731</v>
      </c>
      <c r="P23" s="136">
        <v>3411.6570000000002</v>
      </c>
      <c r="Q23" s="136">
        <v>4128.6239999999998</v>
      </c>
      <c r="R23" s="136">
        <v>4553.4709999999995</v>
      </c>
      <c r="S23" s="136">
        <v>3413.9180000000001</v>
      </c>
      <c r="T23" s="136">
        <v>4130.8860000000004</v>
      </c>
      <c r="U23" s="136">
        <v>4555.7330000000002</v>
      </c>
      <c r="V23" s="137">
        <v>0.3165</v>
      </c>
      <c r="W23" s="137">
        <v>0.38850000000000001</v>
      </c>
      <c r="X23" s="137">
        <v>0.43580000000000002</v>
      </c>
      <c r="Y23" s="137">
        <v>0.31630000000000003</v>
      </c>
      <c r="Z23" s="137">
        <v>0.38829999999999998</v>
      </c>
      <c r="AA23" s="137">
        <v>0.4355</v>
      </c>
      <c r="AB23" s="136">
        <f t="shared" si="2"/>
        <v>10786.142902307934</v>
      </c>
      <c r="AC23" s="136">
        <f t="shared" si="3"/>
        <v>10632.562451712593</v>
      </c>
      <c r="AD23" s="136">
        <f t="shared" si="4"/>
        <v>10455.731343283582</v>
      </c>
      <c r="AE23" s="138">
        <v>0.1</v>
      </c>
      <c r="AF23" s="138">
        <v>7.0000000000000007E-2</v>
      </c>
      <c r="AG23" s="138">
        <v>0.1</v>
      </c>
      <c r="AH23" s="138">
        <v>7.0000000000000007E-2</v>
      </c>
      <c r="AI23" s="142">
        <v>0.21523740736123378</v>
      </c>
      <c r="AJ23" s="142">
        <v>0.12583989185283953</v>
      </c>
      <c r="AP23" s="140"/>
    </row>
    <row r="24" spans="1:42" x14ac:dyDescent="0.25">
      <c r="A24" s="135">
        <v>14</v>
      </c>
      <c r="B24" s="135">
        <v>62</v>
      </c>
      <c r="C24" s="33" t="str">
        <f>IF($J$1="ENG","Taskombank","Таскомбанк")</f>
        <v>Таскомбанк</v>
      </c>
      <c r="D24" s="3" t="str">
        <f t="shared" si="8"/>
        <v>Банки з приватним капіталом</v>
      </c>
      <c r="E24" s="136">
        <v>2268.732</v>
      </c>
      <c r="F24" s="136">
        <v>3100.6550000000002</v>
      </c>
      <c r="G24" s="137">
        <v>0.17319999999999999</v>
      </c>
      <c r="H24" s="137">
        <v>0.12670000000000001</v>
      </c>
      <c r="I24" s="136">
        <f t="shared" si="0"/>
        <v>17906.32991318074</v>
      </c>
      <c r="J24" s="147" t="s">
        <v>7</v>
      </c>
      <c r="K24" s="136">
        <v>2268.732</v>
      </c>
      <c r="L24" s="136">
        <v>2578.1680000000001</v>
      </c>
      <c r="M24" s="137">
        <v>0.14829999999999999</v>
      </c>
      <c r="N24" s="137">
        <v>0.1305</v>
      </c>
      <c r="O24" s="136">
        <f t="shared" si="1"/>
        <v>17384.919540229883</v>
      </c>
      <c r="P24" s="136">
        <v>2573.4479999999999</v>
      </c>
      <c r="Q24" s="136">
        <v>2773.6559999999999</v>
      </c>
      <c r="R24" s="136">
        <v>2805.9960000000001</v>
      </c>
      <c r="S24" s="136">
        <v>2581.0349999999999</v>
      </c>
      <c r="T24" s="136">
        <v>2781.2429999999999</v>
      </c>
      <c r="U24" s="136">
        <v>2813.5830000000001</v>
      </c>
      <c r="V24" s="137">
        <v>0.1474</v>
      </c>
      <c r="W24" s="137">
        <v>0.15870000000000001</v>
      </c>
      <c r="X24" s="137">
        <v>0.16109999999999999</v>
      </c>
      <c r="Y24" s="137">
        <v>0.14699999999999999</v>
      </c>
      <c r="Z24" s="137">
        <v>0.1583</v>
      </c>
      <c r="AA24" s="137">
        <v>0.16070000000000001</v>
      </c>
      <c r="AB24" s="136">
        <f t="shared" si="2"/>
        <v>17506.448979591838</v>
      </c>
      <c r="AC24" s="136">
        <f t="shared" si="3"/>
        <v>17521.516108654454</v>
      </c>
      <c r="AD24" s="136">
        <f t="shared" si="4"/>
        <v>17461.082762912258</v>
      </c>
      <c r="AE24" s="138">
        <v>0.1</v>
      </c>
      <c r="AF24" s="138">
        <v>7.0000000000000007E-2</v>
      </c>
      <c r="AG24" s="138">
        <v>0.1</v>
      </c>
      <c r="AH24" s="138">
        <v>7.0000000000000007E-2</v>
      </c>
      <c r="AI24" s="142">
        <v>0.18142692480153311</v>
      </c>
      <c r="AJ24" s="142">
        <v>0.12365082558818989</v>
      </c>
      <c r="AP24" s="140"/>
    </row>
    <row r="25" spans="1:42" x14ac:dyDescent="0.25">
      <c r="A25" s="135">
        <v>15</v>
      </c>
      <c r="B25" s="135">
        <v>298</v>
      </c>
      <c r="C25" s="33" t="str">
        <f>IF($J$1="ENG","Procredit","Прокредит")</f>
        <v>Прокредит</v>
      </c>
      <c r="D25" s="3" t="str">
        <f t="shared" ref="D25" si="9">IF($J$1="ENG","Foreign banks","Банки іноземних банківських груп")</f>
        <v>Банки іноземних банківських груп</v>
      </c>
      <c r="E25" s="136">
        <v>2407.0940000000001</v>
      </c>
      <c r="F25" s="136">
        <v>3202.7179999999998</v>
      </c>
      <c r="G25" s="137">
        <v>0.1774</v>
      </c>
      <c r="H25" s="137">
        <v>0.1333</v>
      </c>
      <c r="I25" s="136">
        <f t="shared" si="0"/>
        <v>18057.719429857465</v>
      </c>
      <c r="J25" s="147" t="s">
        <v>6</v>
      </c>
      <c r="K25" s="136">
        <v>2407.0940000000001</v>
      </c>
      <c r="L25" s="136">
        <v>3202.7179999999998</v>
      </c>
      <c r="M25" s="137">
        <v>0.1774</v>
      </c>
      <c r="N25" s="137">
        <v>0.1333</v>
      </c>
      <c r="O25" s="136">
        <f t="shared" si="1"/>
        <v>18057.719429857465</v>
      </c>
      <c r="P25" s="136">
        <v>2688.52</v>
      </c>
      <c r="Q25" s="136">
        <v>2757.8690000000001</v>
      </c>
      <c r="R25" s="136">
        <v>2594.9</v>
      </c>
      <c r="S25" s="136">
        <v>3584.9090000000001</v>
      </c>
      <c r="T25" s="136">
        <v>3669.489</v>
      </c>
      <c r="U25" s="136">
        <v>3515.2220000000002</v>
      </c>
      <c r="V25" s="137">
        <v>0.1888</v>
      </c>
      <c r="W25" s="137">
        <v>0.1918</v>
      </c>
      <c r="X25" s="137">
        <v>0.183</v>
      </c>
      <c r="Y25" s="137">
        <v>0.1416</v>
      </c>
      <c r="Z25" s="137">
        <v>0.14419999999999999</v>
      </c>
      <c r="AA25" s="137">
        <v>0.1351</v>
      </c>
      <c r="AB25" s="136">
        <f t="shared" si="2"/>
        <v>18986.723163841809</v>
      </c>
      <c r="AC25" s="136">
        <f t="shared" si="3"/>
        <v>19125.305131761444</v>
      </c>
      <c r="AD25" s="136">
        <f t="shared" si="4"/>
        <v>19207.253886010363</v>
      </c>
      <c r="AE25" s="138">
        <v>0.1</v>
      </c>
      <c r="AF25" s="138">
        <v>7.0000000000000007E-2</v>
      </c>
      <c r="AG25" s="138">
        <v>0.1</v>
      </c>
      <c r="AH25" s="138">
        <v>7.0000000000000007E-2</v>
      </c>
      <c r="AI25" s="142">
        <v>0.24422054954351929</v>
      </c>
      <c r="AJ25" s="142">
        <v>0.13251726311810225</v>
      </c>
      <c r="AP25" s="140"/>
    </row>
    <row r="26" spans="1:42" x14ac:dyDescent="0.25">
      <c r="A26" s="135">
        <v>16</v>
      </c>
      <c r="B26" s="135">
        <v>106</v>
      </c>
      <c r="C26" s="33" t="str">
        <f>IF($J$1="ENG","Pivdennyi","Південний")</f>
        <v>Південний</v>
      </c>
      <c r="D26" s="3" t="str">
        <f t="shared" ref="D26:D29" si="10">IF($J$1="ENG","Private banks","Банки з приватним капіталом")</f>
        <v>Банки з приватним капіталом</v>
      </c>
      <c r="E26" s="136">
        <v>2505.4009999999998</v>
      </c>
      <c r="F26" s="136">
        <v>4342.3649999999998</v>
      </c>
      <c r="G26" s="137">
        <v>0.21440000000000001</v>
      </c>
      <c r="H26" s="137">
        <v>0.1237</v>
      </c>
      <c r="I26" s="136">
        <f t="shared" si="0"/>
        <v>20253.848019401776</v>
      </c>
      <c r="J26" s="147" t="s">
        <v>7</v>
      </c>
      <c r="K26" s="136">
        <v>2505.4009999999998</v>
      </c>
      <c r="L26" s="136">
        <v>4342.3649999999998</v>
      </c>
      <c r="M26" s="137">
        <v>0.21440000000000001</v>
      </c>
      <c r="N26" s="137">
        <v>0.1237</v>
      </c>
      <c r="O26" s="136">
        <f t="shared" si="1"/>
        <v>20253.848019401776</v>
      </c>
      <c r="P26" s="136">
        <v>5561.0630000000001</v>
      </c>
      <c r="Q26" s="136">
        <v>6607.1570000000002</v>
      </c>
      <c r="R26" s="136">
        <v>7285.1840000000002</v>
      </c>
      <c r="S26" s="136">
        <v>5753.8680000000004</v>
      </c>
      <c r="T26" s="136">
        <v>6776.9219999999996</v>
      </c>
      <c r="U26" s="136">
        <v>7430.5290000000005</v>
      </c>
      <c r="V26" s="137">
        <v>0.27979999999999999</v>
      </c>
      <c r="W26" s="137">
        <v>0.32679999999999998</v>
      </c>
      <c r="X26" s="137">
        <v>0.3574</v>
      </c>
      <c r="Y26" s="137">
        <v>0.27050000000000002</v>
      </c>
      <c r="Z26" s="137">
        <v>0.31859999999999999</v>
      </c>
      <c r="AA26" s="137">
        <v>0.35039999999999999</v>
      </c>
      <c r="AB26" s="136">
        <f t="shared" si="2"/>
        <v>20558.458410351199</v>
      </c>
      <c r="AC26" s="136">
        <f t="shared" si="3"/>
        <v>20738.094789704959</v>
      </c>
      <c r="AD26" s="136">
        <f t="shared" si="4"/>
        <v>20791.050228310505</v>
      </c>
      <c r="AE26" s="138">
        <v>0.1</v>
      </c>
      <c r="AF26" s="138">
        <v>7.0000000000000007E-2</v>
      </c>
      <c r="AG26" s="138">
        <v>0.1</v>
      </c>
      <c r="AH26" s="138">
        <v>7.0000000000000007E-2</v>
      </c>
      <c r="AI26" s="142">
        <v>0.2238106756613073</v>
      </c>
      <c r="AJ26" s="142">
        <v>0.11190533783065365</v>
      </c>
      <c r="AP26" s="140"/>
    </row>
    <row r="27" spans="1:42" x14ac:dyDescent="0.25">
      <c r="A27" s="135">
        <v>17</v>
      </c>
      <c r="B27" s="135">
        <v>270</v>
      </c>
      <c r="C27" s="33" t="str">
        <f>IF($J$1="ENG","Kredyt Dnipro","Кредит Дніпро")</f>
        <v>Кредит Дніпро</v>
      </c>
      <c r="D27" s="3" t="str">
        <f t="shared" si="10"/>
        <v>Банки з приватним капіталом</v>
      </c>
      <c r="E27" s="136">
        <v>1235.883</v>
      </c>
      <c r="F27" s="136">
        <v>1659.67</v>
      </c>
      <c r="G27" s="137">
        <v>0.27429999999999999</v>
      </c>
      <c r="H27" s="137">
        <v>0.20430000000000001</v>
      </c>
      <c r="I27" s="136">
        <f t="shared" si="0"/>
        <v>6049.35389133627</v>
      </c>
      <c r="J27" s="147" t="s">
        <v>6</v>
      </c>
      <c r="K27" s="136">
        <v>1235.883</v>
      </c>
      <c r="L27" s="136">
        <v>1659.67</v>
      </c>
      <c r="M27" s="137">
        <v>0.27429999999999999</v>
      </c>
      <c r="N27" s="137">
        <v>0.20430000000000001</v>
      </c>
      <c r="O27" s="136">
        <f t="shared" si="1"/>
        <v>6049.35389133627</v>
      </c>
      <c r="P27" s="136">
        <v>1576.348</v>
      </c>
      <c r="Q27" s="136">
        <v>1735.703</v>
      </c>
      <c r="R27" s="136">
        <v>1736.319</v>
      </c>
      <c r="S27" s="136">
        <v>1660.2570000000001</v>
      </c>
      <c r="T27" s="136">
        <v>1819.6130000000001</v>
      </c>
      <c r="U27" s="136">
        <v>1820.229</v>
      </c>
      <c r="V27" s="137">
        <v>0.28170000000000001</v>
      </c>
      <c r="W27" s="137">
        <v>0.30370000000000003</v>
      </c>
      <c r="X27" s="137">
        <v>0.30430000000000001</v>
      </c>
      <c r="Y27" s="137">
        <v>0.26750000000000002</v>
      </c>
      <c r="Z27" s="137">
        <v>0.28970000000000001</v>
      </c>
      <c r="AA27" s="137">
        <v>0.2903</v>
      </c>
      <c r="AB27" s="136">
        <f t="shared" si="2"/>
        <v>5892.8897196261678</v>
      </c>
      <c r="AC27" s="136">
        <f t="shared" si="3"/>
        <v>5991.3807386952012</v>
      </c>
      <c r="AD27" s="136">
        <f t="shared" si="4"/>
        <v>5981.119531519118</v>
      </c>
      <c r="AE27" s="138">
        <v>0.1</v>
      </c>
      <c r="AF27" s="138">
        <v>7.0000000000000007E-2</v>
      </c>
      <c r="AG27" s="138">
        <v>0.1</v>
      </c>
      <c r="AH27" s="138">
        <v>7.0000000000000007E-2</v>
      </c>
      <c r="AI27" s="142">
        <v>0.29185815466390946</v>
      </c>
      <c r="AJ27" s="142">
        <v>0.20973155802768478</v>
      </c>
      <c r="AP27" s="140"/>
    </row>
    <row r="28" spans="1:42" x14ac:dyDescent="0.25">
      <c r="A28" s="135">
        <v>18</v>
      </c>
      <c r="B28" s="135">
        <v>305</v>
      </c>
      <c r="C28" s="33" t="str">
        <f>IF($J$1="ENG","Vostok","Восток")</f>
        <v>Восток</v>
      </c>
      <c r="D28" s="3" t="str">
        <f t="shared" si="10"/>
        <v>Банки з приватним капіталом</v>
      </c>
      <c r="E28" s="136">
        <v>1262.1010000000001</v>
      </c>
      <c r="F28" s="136">
        <v>1976.326</v>
      </c>
      <c r="G28" s="137">
        <v>0.20100000000000001</v>
      </c>
      <c r="H28" s="137">
        <v>0.1283</v>
      </c>
      <c r="I28" s="136">
        <f t="shared" si="0"/>
        <v>9837.1083398285282</v>
      </c>
      <c r="J28" s="147" t="s">
        <v>6</v>
      </c>
      <c r="K28" s="136">
        <v>1262.1010000000001</v>
      </c>
      <c r="L28" s="136">
        <v>1976.326</v>
      </c>
      <c r="M28" s="137">
        <v>0.20100000000000001</v>
      </c>
      <c r="N28" s="137">
        <v>0.1283</v>
      </c>
      <c r="O28" s="136">
        <f t="shared" si="1"/>
        <v>9837.1083398285282</v>
      </c>
      <c r="P28" s="136">
        <v>2290.3850000000002</v>
      </c>
      <c r="Q28" s="136">
        <v>2710.0729999999999</v>
      </c>
      <c r="R28" s="136">
        <v>2910.3449999999998</v>
      </c>
      <c r="S28" s="136">
        <v>2603.5050000000001</v>
      </c>
      <c r="T28" s="136">
        <v>2961.473</v>
      </c>
      <c r="U28" s="136">
        <v>3096.4650000000001</v>
      </c>
      <c r="V28" s="137">
        <v>0.25619999999999998</v>
      </c>
      <c r="W28" s="137">
        <v>0.29089999999999999</v>
      </c>
      <c r="X28" s="137">
        <v>0.30449999999999999</v>
      </c>
      <c r="Y28" s="137">
        <v>0.22539999999999999</v>
      </c>
      <c r="Z28" s="137">
        <v>0.26619999999999999</v>
      </c>
      <c r="AA28" s="137">
        <v>0.28620000000000001</v>
      </c>
      <c r="AB28" s="136">
        <f t="shared" si="2"/>
        <v>10161.424134871342</v>
      </c>
      <c r="AC28" s="136">
        <f t="shared" si="3"/>
        <v>10180.589782118708</v>
      </c>
      <c r="AD28" s="136">
        <f t="shared" si="4"/>
        <v>10168.920335429768</v>
      </c>
      <c r="AE28" s="138">
        <v>0.1</v>
      </c>
      <c r="AF28" s="138">
        <v>7.0000000000000007E-2</v>
      </c>
      <c r="AG28" s="138">
        <v>0.1</v>
      </c>
      <c r="AH28" s="138">
        <v>7.0000000000000007E-2</v>
      </c>
      <c r="AI28" s="142">
        <v>0.22736485454340621</v>
      </c>
      <c r="AJ28" s="142">
        <v>0.15288974247349865</v>
      </c>
      <c r="AP28" s="140"/>
    </row>
    <row r="29" spans="1:42" x14ac:dyDescent="0.25">
      <c r="A29" s="135">
        <v>19</v>
      </c>
      <c r="B29" s="135">
        <v>105</v>
      </c>
      <c r="C29" s="33" t="str">
        <f>IF($J$1="ENG","MTB","МТБ")</f>
        <v>МТБ</v>
      </c>
      <c r="D29" s="3" t="str">
        <f t="shared" si="10"/>
        <v>Банки з приватним капіталом</v>
      </c>
      <c r="E29" s="136">
        <v>683.68</v>
      </c>
      <c r="F29" s="136">
        <v>838.85299999999995</v>
      </c>
      <c r="G29" s="137">
        <v>0.13919999999999999</v>
      </c>
      <c r="H29" s="137">
        <v>0.1134</v>
      </c>
      <c r="I29" s="136">
        <f t="shared" si="0"/>
        <v>6028.9241622574955</v>
      </c>
      <c r="J29" s="147" t="s">
        <v>7</v>
      </c>
      <c r="K29" s="136">
        <v>337.48899999999998</v>
      </c>
      <c r="L29" s="136">
        <v>433.74599999999998</v>
      </c>
      <c r="M29" s="137">
        <v>7.7100000000000002E-2</v>
      </c>
      <c r="N29" s="137">
        <v>0.06</v>
      </c>
      <c r="O29" s="136">
        <f t="shared" si="1"/>
        <v>5624.8166666666666</v>
      </c>
      <c r="P29" s="136">
        <v>-40.1</v>
      </c>
      <c r="Q29" s="136">
        <v>-118.59099999999999</v>
      </c>
      <c r="R29" s="136">
        <v>-225.44900000000001</v>
      </c>
      <c r="S29" s="136">
        <v>-40.1</v>
      </c>
      <c r="T29" s="136">
        <v>-118.59099999999999</v>
      </c>
      <c r="U29" s="136">
        <v>-225.44900000000001</v>
      </c>
      <c r="V29" s="137">
        <v>-7.4999999999999997E-3</v>
      </c>
      <c r="W29" s="137">
        <v>-2.1899999999999999E-2</v>
      </c>
      <c r="X29" s="137">
        <v>-4.1500000000000002E-2</v>
      </c>
      <c r="Y29" s="137">
        <v>-7.4999999999999997E-3</v>
      </c>
      <c r="Z29" s="137">
        <v>-2.1899999999999999E-2</v>
      </c>
      <c r="AA29" s="137">
        <v>-4.1500000000000002E-2</v>
      </c>
      <c r="AB29" s="136">
        <f t="shared" si="2"/>
        <v>5346.666666666667</v>
      </c>
      <c r="AC29" s="136">
        <f t="shared" si="3"/>
        <v>5415.1141552511417</v>
      </c>
      <c r="AD29" s="136">
        <f t="shared" si="4"/>
        <v>5432.5060240963858</v>
      </c>
      <c r="AE29" s="138">
        <v>0.13</v>
      </c>
      <c r="AF29" s="138">
        <v>0.1</v>
      </c>
      <c r="AG29" s="138">
        <v>0.19800000000000001</v>
      </c>
      <c r="AH29" s="138">
        <v>0.16800000000000001</v>
      </c>
      <c r="AI29" s="142">
        <v>0.12209615908383627</v>
      </c>
      <c r="AJ29" s="142">
        <v>9.369329416044081E-2</v>
      </c>
      <c r="AP29" s="140"/>
    </row>
    <row r="30" spans="1:42" x14ac:dyDescent="0.25">
      <c r="A30" s="135">
        <v>20</v>
      </c>
      <c r="B30" s="135">
        <v>153</v>
      </c>
      <c r="C30" s="122" t="str">
        <f>IF($J$1="ENG","Pravex","Правекс")</f>
        <v>Правекс</v>
      </c>
      <c r="D30" s="3" t="str">
        <f t="shared" ref="D30" si="11">IF($J$1="ENG","Foreign banks","Банки іноземних банківських груп")</f>
        <v>Банки іноземних банківських груп</v>
      </c>
      <c r="E30" s="136">
        <v>670.62199999999996</v>
      </c>
      <c r="F30" s="136">
        <v>727.92399999999998</v>
      </c>
      <c r="G30" s="137">
        <v>0.15529999999999999</v>
      </c>
      <c r="H30" s="137">
        <v>0.1431</v>
      </c>
      <c r="I30" s="136">
        <f t="shared" si="0"/>
        <v>4686.3871418588396</v>
      </c>
      <c r="J30" s="147" t="s">
        <v>6</v>
      </c>
      <c r="K30" s="136">
        <v>675.26700000000005</v>
      </c>
      <c r="L30" s="136">
        <v>732.56899999999996</v>
      </c>
      <c r="M30" s="137">
        <v>0.15609999999999999</v>
      </c>
      <c r="N30" s="137">
        <v>0.1439</v>
      </c>
      <c r="O30" s="136">
        <f t="shared" si="1"/>
        <v>4692.6129256428076</v>
      </c>
      <c r="P30" s="136">
        <v>207.09100000000001</v>
      </c>
      <c r="Q30" s="136">
        <v>-226.875</v>
      </c>
      <c r="R30" s="136">
        <v>-763.93499999999995</v>
      </c>
      <c r="S30" s="136">
        <v>264.39299999999997</v>
      </c>
      <c r="T30" s="136">
        <v>-226.87700000000001</v>
      </c>
      <c r="U30" s="136">
        <v>-763.93799999999999</v>
      </c>
      <c r="V30" s="137">
        <v>5.6899999999999999E-2</v>
      </c>
      <c r="W30" s="137">
        <v>-4.8800000000000003E-2</v>
      </c>
      <c r="X30" s="137">
        <v>-0.1651</v>
      </c>
      <c r="Y30" s="137">
        <v>4.4499999999999998E-2</v>
      </c>
      <c r="Z30" s="137">
        <v>-4.8800000000000003E-2</v>
      </c>
      <c r="AA30" s="137">
        <v>-0.1651</v>
      </c>
      <c r="AB30" s="136">
        <f t="shared" si="2"/>
        <v>4653.7303370786522</v>
      </c>
      <c r="AC30" s="136">
        <f t="shared" si="3"/>
        <v>4649.0778688524588</v>
      </c>
      <c r="AD30" s="136">
        <f t="shared" si="4"/>
        <v>4627.1047849788001</v>
      </c>
      <c r="AE30" s="138">
        <v>0.33700000000000002</v>
      </c>
      <c r="AF30" s="138">
        <v>0.307</v>
      </c>
      <c r="AG30" s="138">
        <v>0.40600000000000003</v>
      </c>
      <c r="AH30" s="138">
        <v>0.376</v>
      </c>
      <c r="AI30" s="142">
        <v>0.21605973076631024</v>
      </c>
      <c r="AJ30" s="142">
        <v>0.19850349633970865</v>
      </c>
      <c r="AP30" s="140"/>
    </row>
    <row r="31" spans="1:42" x14ac:dyDescent="0.25">
      <c r="A31" s="148"/>
      <c r="B31" s="148"/>
      <c r="C31" s="110"/>
      <c r="D31" s="6"/>
      <c r="E31" s="149"/>
      <c r="F31" s="149"/>
      <c r="G31" s="150"/>
      <c r="H31" s="150"/>
      <c r="I31" s="149"/>
      <c r="J31" s="151"/>
      <c r="K31" s="149"/>
      <c r="L31" s="149"/>
      <c r="M31" s="150"/>
      <c r="N31" s="150"/>
      <c r="O31" s="149"/>
      <c r="P31" s="149"/>
      <c r="Q31" s="149"/>
      <c r="R31" s="149"/>
      <c r="S31" s="149"/>
      <c r="T31" s="149"/>
      <c r="U31" s="149"/>
      <c r="V31" s="150"/>
      <c r="W31" s="150"/>
      <c r="X31" s="150"/>
      <c r="Y31" s="150"/>
      <c r="Z31" s="150"/>
      <c r="AA31" s="150"/>
      <c r="AB31" s="149"/>
      <c r="AC31" s="149"/>
      <c r="AD31" s="149"/>
      <c r="AE31" s="152"/>
      <c r="AF31" s="152"/>
      <c r="AG31" s="152"/>
      <c r="AH31" s="152"/>
      <c r="AI31" s="153"/>
      <c r="AJ31" s="153"/>
      <c r="AP31" s="140"/>
    </row>
    <row r="32" spans="1:42" x14ac:dyDescent="0.25">
      <c r="P32" s="143"/>
      <c r="Q32" s="143"/>
      <c r="R32" s="143"/>
      <c r="S32" s="143"/>
      <c r="T32" s="143"/>
      <c r="U32" s="143"/>
      <c r="AE32" s="144"/>
      <c r="AF32" s="144"/>
      <c r="AP32" s="145"/>
    </row>
    <row r="33" spans="1:42" x14ac:dyDescent="0.25">
      <c r="A33" s="1" t="str">
        <f>IF($J$1="ENG","Note:","Примітки:")</f>
        <v>Примітки:</v>
      </c>
      <c r="AP33" s="146"/>
    </row>
    <row r="34" spans="1:42" x14ac:dyDescent="0.25">
      <c r="A34" s="133" t="s">
        <v>8</v>
      </c>
    </row>
    <row r="35" spans="1:42" x14ac:dyDescent="0.25">
      <c r="A35" s="1" t="str">
        <f>IF($J$1="ENG","","ОК - основний капітал, РК - регулятивний капітал.")</f>
        <v>ОК - основний капітал, РК - регулятивний капітал.</v>
      </c>
    </row>
  </sheetData>
  <sheetProtection password="CC27" sheet="1" objects="1" scenarios="1"/>
  <mergeCells count="29">
    <mergeCell ref="A4:A8"/>
    <mergeCell ref="B4:B8"/>
    <mergeCell ref="C4:C8"/>
    <mergeCell ref="D4:D8"/>
    <mergeCell ref="AE4:AH5"/>
    <mergeCell ref="P6:R6"/>
    <mergeCell ref="E4:I5"/>
    <mergeCell ref="J4:O5"/>
    <mergeCell ref="J7:O8"/>
    <mergeCell ref="E7:I8"/>
    <mergeCell ref="AB6:AD6"/>
    <mergeCell ref="S6:U6"/>
    <mergeCell ref="V6:X6"/>
    <mergeCell ref="Y6:AA6"/>
    <mergeCell ref="AB8:AD8"/>
    <mergeCell ref="P4:AD5"/>
    <mergeCell ref="AI4:AJ6"/>
    <mergeCell ref="AI7:AI8"/>
    <mergeCell ref="AJ7:AJ8"/>
    <mergeCell ref="AH7:AH8"/>
    <mergeCell ref="P8:R8"/>
    <mergeCell ref="S8:U8"/>
    <mergeCell ref="V8:X8"/>
    <mergeCell ref="Y8:AA8"/>
    <mergeCell ref="AE6:AF6"/>
    <mergeCell ref="AG6:AH6"/>
    <mergeCell ref="AE7:AE8"/>
    <mergeCell ref="AF7:AF8"/>
    <mergeCell ref="AG7:AG8"/>
  </mergeCells>
  <pageMargins left="0.7" right="0.7" top="0.75" bottom="0.75" header="0.3" footer="0.3"/>
  <pageSetup paperSize="9" orientation="portrait" r:id="rId1"/>
  <ignoredErrors>
    <ignoredError sqref="D25 D1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0</xdr:row>
                    <xdr:rowOff>0</xdr:rowOff>
                  </from>
                  <to>
                    <xdr:col>10</xdr:col>
                    <xdr:colOff>45720</xdr:colOff>
                    <xdr:row>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6"/>
  <dimension ref="A1:BF74"/>
  <sheetViews>
    <sheetView zoomScale="70" zoomScaleNormal="70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ColWidth="8.88671875" defaultRowHeight="13.2" x14ac:dyDescent="0.25"/>
  <cols>
    <col min="1" max="1" width="5.5546875" style="1" customWidth="1"/>
    <col min="2" max="2" width="6.5546875" style="1" customWidth="1"/>
    <col min="3" max="4" width="32.5546875" style="1" customWidth="1"/>
    <col min="5" max="5" width="12.6640625" style="1" customWidth="1"/>
    <col min="6" max="6" width="13.88671875" style="1" customWidth="1"/>
    <col min="7" max="7" width="10.44140625" style="1" customWidth="1"/>
    <col min="8" max="8" width="8.88671875" style="1" customWidth="1"/>
    <col min="9" max="9" width="14" style="1" hidden="1" customWidth="1"/>
    <col min="10" max="10" width="14.5546875" style="1" customWidth="1"/>
    <col min="11" max="12" width="11.33203125" style="1" bestFit="1" customWidth="1"/>
    <col min="13" max="13" width="10.33203125" style="1" customWidth="1"/>
    <col min="14" max="14" width="9" style="1" customWidth="1"/>
    <col min="15" max="15" width="12.77734375" style="1" hidden="1" customWidth="1"/>
    <col min="16" max="21" width="11.33203125" style="1" bestFit="1" customWidth="1"/>
    <col min="22" max="26" width="9" style="1" bestFit="1" customWidth="1"/>
    <col min="27" max="27" width="9" style="1" customWidth="1"/>
    <col min="28" max="28" width="6.6640625" style="1" hidden="1" customWidth="1"/>
    <col min="29" max="29" width="6.88671875" style="1" hidden="1" customWidth="1"/>
    <col min="30" max="30" width="5.109375" style="1" hidden="1" customWidth="1"/>
    <col min="31" max="31" width="10.6640625" style="1" bestFit="1" customWidth="1"/>
    <col min="32" max="33" width="11.33203125" style="1" bestFit="1" customWidth="1"/>
    <col min="34" max="34" width="10.6640625" style="1" bestFit="1" customWidth="1"/>
    <col min="35" max="36" width="11.33203125" style="1" bestFit="1" customWidth="1"/>
    <col min="37" max="37" width="9" style="1" bestFit="1" customWidth="1"/>
    <col min="38" max="38" width="10.5546875" style="1" customWidth="1"/>
    <col min="39" max="39" width="9.6640625" style="1" bestFit="1" customWidth="1"/>
    <col min="40" max="40" width="9" style="1" bestFit="1" customWidth="1"/>
    <col min="41" max="41" width="9.6640625" style="1" bestFit="1" customWidth="1"/>
    <col min="42" max="42" width="9.109375" style="1" customWidth="1"/>
    <col min="43" max="43" width="6.88671875" style="1" hidden="1" customWidth="1"/>
    <col min="44" max="44" width="10.109375" style="1" hidden="1" customWidth="1"/>
    <col min="45" max="45" width="11.21875" style="1" hidden="1" customWidth="1"/>
    <col min="46" max="46" width="9.88671875" style="1" customWidth="1"/>
    <col min="47" max="47" width="14.33203125" style="1" customWidth="1"/>
    <col min="48" max="49" width="11.44140625" style="1" customWidth="1"/>
    <col min="50" max="50" width="12.88671875" style="1" customWidth="1"/>
    <col min="51" max="51" width="14.88671875" style="1" customWidth="1"/>
    <col min="52" max="53" width="13" style="1" customWidth="1"/>
    <col min="54" max="54" width="11.21875" style="1" bestFit="1" customWidth="1"/>
    <col min="55" max="55" width="9.33203125" style="1" bestFit="1" customWidth="1"/>
    <col min="56" max="16384" width="8.88671875" style="1"/>
  </cols>
  <sheetData>
    <row r="1" spans="1:58" x14ac:dyDescent="0.25">
      <c r="J1" s="52" t="str">
        <f>'Individual banks'!K1</f>
        <v>UA</v>
      </c>
      <c r="K1" s="58" t="str">
        <f>IF($J$1="ENG","Змінити мову тут","Change language here")</f>
        <v>Change language here</v>
      </c>
    </row>
    <row r="2" spans="1:58" ht="14.4" customHeight="1" x14ac:dyDescent="0.25">
      <c r="B2" s="45" t="str">
        <f>IF($J$1="ENG","Results of stress test of banks and Ukrainian banking system","Результати стрес-тестування банків та банківської системи України")</f>
        <v>Результати стрес-тестування банків та банківської системи України</v>
      </c>
      <c r="C2" s="44"/>
      <c r="D2" s="29"/>
    </row>
    <row r="3" spans="1:58" x14ac:dyDescent="0.25">
      <c r="C3" s="31"/>
      <c r="D3" s="31"/>
    </row>
    <row r="4" spans="1:58" ht="36" customHeight="1" x14ac:dyDescent="0.25">
      <c r="A4" s="216" t="str">
        <f>IF($J$1="ENG","#","№ з/п")</f>
        <v>№ з/п</v>
      </c>
      <c r="B4" s="216" t="str">
        <f>IF($J$1="ENG","NKB","НКБ")</f>
        <v>НКБ</v>
      </c>
      <c r="C4" s="216" t="str">
        <f>IF($J$1="ENG","Name","Назва")</f>
        <v>Назва</v>
      </c>
      <c r="D4" s="216" t="str">
        <f>IF($J$1="ENG","Group","Група")</f>
        <v>Група</v>
      </c>
      <c r="E4" s="197" t="str">
        <f>IF($J$1="ENG","Bank's data","Дані банку")</f>
        <v>Дані банку</v>
      </c>
      <c r="F4" s="198"/>
      <c r="G4" s="198"/>
      <c r="H4" s="198"/>
      <c r="I4" s="199"/>
      <c r="J4" s="197" t="str">
        <f>IF($J$1="ENG","Asset quality review","Дані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K4" s="198"/>
      <c r="L4" s="198"/>
      <c r="M4" s="198"/>
      <c r="N4" s="198"/>
      <c r="O4" s="199"/>
      <c r="P4" s="197" t="str">
        <f>IF($J$1="ENG","Baseline scenario","За базовим макроекономічним сценарієм")</f>
        <v>За базовим макроекономічним сценарієм</v>
      </c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7" t="str">
        <f>IF($J$1="ENG","Adverse scenario","За несприятливим макроекономічним сценарієм")</f>
        <v>За несприятливим макроекономічним сценарієм</v>
      </c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212" t="str">
        <f>IF($J$1="ENG","Required (target) capital adequacy level, baseline scenario","Необхідний (цільовий) рівень нормативів за базовим сценарієм")</f>
        <v>Необхідний (цільовий) рівень нормативів за базовим сценарієм</v>
      </c>
      <c r="AU4" s="213"/>
      <c r="AV4" s="212" t="str">
        <f>IF($J$1="ENG","Required (target) capital adequacy level, adverse scenario","Необхідний (цільовий) рівень нормативів за несприятливим сценарієм")</f>
        <v>Необхідний (цільовий) рівень нормативів за несприятливим сценарієм</v>
      </c>
      <c r="AW4" s="217"/>
      <c r="AX4" s="217"/>
      <c r="AY4" s="213"/>
      <c r="AZ4" s="175" t="str">
        <f>IF($J$1="ENG","Memo: capital adequacy ratios as of 1 Dec 2021","Довідково: нормативи достатності капіталу на 01.12.2021 р.")</f>
        <v>Довідково: нормативи достатності капіталу на 01.12.2021 р.</v>
      </c>
      <c r="BA4" s="175"/>
    </row>
    <row r="5" spans="1:58" ht="36" customHeight="1" x14ac:dyDescent="0.25">
      <c r="A5" s="216"/>
      <c r="B5" s="216"/>
      <c r="C5" s="216"/>
      <c r="D5" s="216"/>
      <c r="E5" s="200"/>
      <c r="F5" s="201"/>
      <c r="G5" s="201"/>
      <c r="H5" s="201"/>
      <c r="I5" s="202"/>
      <c r="J5" s="200"/>
      <c r="K5" s="201"/>
      <c r="L5" s="201"/>
      <c r="M5" s="201"/>
      <c r="N5" s="201"/>
      <c r="O5" s="202"/>
      <c r="P5" s="200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0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14"/>
      <c r="AU5" s="215"/>
      <c r="AV5" s="214"/>
      <c r="AW5" s="218"/>
      <c r="AX5" s="218"/>
      <c r="AY5" s="215"/>
      <c r="AZ5" s="175"/>
      <c r="BA5" s="175"/>
    </row>
    <row r="6" spans="1:58" ht="46.2" customHeight="1" x14ac:dyDescent="0.25">
      <c r="A6" s="216"/>
      <c r="B6" s="216"/>
      <c r="C6" s="216"/>
      <c r="D6" s="216"/>
      <c r="E6" s="51" t="str">
        <f>IF($J$1="ENG","Core capital, UAH mln","ОК, млн грн")</f>
        <v>ОК, млн грн</v>
      </c>
      <c r="F6" s="51" t="str">
        <f>IF($J$1="ENG","Regulatory capital, UAH mln","РК, млн грн")</f>
        <v>РК, млн грн</v>
      </c>
      <c r="G6" s="51" t="str">
        <f>IF($J$1="ENG","CAR","Н2")</f>
        <v>Н2</v>
      </c>
      <c r="H6" s="51" t="str">
        <f>IF($J$1="ENG","Core capital ratio","Н3")</f>
        <v>Н3</v>
      </c>
      <c r="I6" s="37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J6" s="8" t="str">
        <f>IF($J$1="ENG","extrapolation","екстраполяція")</f>
        <v>екстраполяція</v>
      </c>
      <c r="K6" s="51" t="str">
        <f>E6</f>
        <v>ОК, млн грн</v>
      </c>
      <c r="L6" s="59" t="str">
        <f>F6</f>
        <v>РК, млн грн</v>
      </c>
      <c r="M6" s="59" t="str">
        <f>G6</f>
        <v>Н2</v>
      </c>
      <c r="N6" s="59" t="str">
        <f>H6</f>
        <v>Н3</v>
      </c>
      <c r="O6" s="37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P6" s="194" t="str">
        <f>E6</f>
        <v>ОК, млн грн</v>
      </c>
      <c r="Q6" s="195"/>
      <c r="R6" s="196"/>
      <c r="S6" s="194" t="str">
        <f>F6</f>
        <v>РК, млн грн</v>
      </c>
      <c r="T6" s="195"/>
      <c r="U6" s="196"/>
      <c r="V6" s="194" t="str">
        <f>M6</f>
        <v>Н2</v>
      </c>
      <c r="W6" s="195"/>
      <c r="X6" s="196"/>
      <c r="Y6" s="194" t="str">
        <f>H6</f>
        <v>Н3</v>
      </c>
      <c r="Z6" s="195"/>
      <c r="AA6" s="196"/>
      <c r="AB6" s="209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C6" s="210"/>
      <c r="AD6" s="211"/>
      <c r="AE6" s="194" t="str">
        <f>P6</f>
        <v>ОК, млн грн</v>
      </c>
      <c r="AF6" s="195"/>
      <c r="AG6" s="196"/>
      <c r="AH6" s="194" t="str">
        <f>S6</f>
        <v>РК, млн грн</v>
      </c>
      <c r="AI6" s="195"/>
      <c r="AJ6" s="196"/>
      <c r="AK6" s="194" t="str">
        <f>V6</f>
        <v>Н2</v>
      </c>
      <c r="AL6" s="195"/>
      <c r="AM6" s="196"/>
      <c r="AN6" s="194" t="str">
        <f>Y6</f>
        <v>Н3</v>
      </c>
      <c r="AO6" s="195"/>
      <c r="AP6" s="196"/>
      <c r="AQ6" s="209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R6" s="210"/>
      <c r="AS6" s="211"/>
      <c r="AT6" s="178" t="str">
        <f>IF($J$1="ENG","resilience assessment results, %","за результатами оцінки стійкості, %")</f>
        <v>за результатами оцінки стійкості, %</v>
      </c>
      <c r="AU6" s="178"/>
      <c r="AV6" s="178" t="str">
        <f>IF($J$1="ENG","resilience assessment results, %","за результатами оцінки стійкості, %")</f>
        <v>за результатами оцінки стійкості, %</v>
      </c>
      <c r="AW6" s="178"/>
      <c r="AX6" s="209" t="str">
        <f>IF($J$1="ENG","after measures taken and planned by banks on 30 Jun 2022*, %","з урахуванням здійснених та запланованих банком заходів на 30.06.2022*, %")</f>
        <v>з урахуванням здійснених та запланованих банком заходів на 30.06.2022*, %</v>
      </c>
      <c r="AY6" s="211"/>
      <c r="AZ6" s="175"/>
      <c r="BA6" s="175"/>
    </row>
    <row r="7" spans="1:58" ht="25.8" customHeight="1" x14ac:dyDescent="0.25">
      <c r="A7" s="216"/>
      <c r="B7" s="216"/>
      <c r="C7" s="216"/>
      <c r="D7" s="216"/>
      <c r="E7" s="197" t="str">
        <f>IF($J$1="ENG","reporting date 1 Jan 2021","звітний рік (на 01.01.2021)")</f>
        <v>звітний рік (на 01.01.2021)</v>
      </c>
      <c r="F7" s="198"/>
      <c r="G7" s="198"/>
      <c r="H7" s="198"/>
      <c r="I7" s="199"/>
      <c r="J7" s="197" t="str">
        <f>IF($J$1="ENG","reporting date 1 Jan 2021","звітний рік (на 01.01.2021)")</f>
        <v>звітний рік (на 01.01.2021)</v>
      </c>
      <c r="K7" s="198"/>
      <c r="L7" s="198"/>
      <c r="M7" s="198"/>
      <c r="N7" s="198"/>
      <c r="O7" s="199"/>
      <c r="P7" s="8" t="str">
        <f>IF($J$1="ENG","1st","1-й")</f>
        <v>1-й</v>
      </c>
      <c r="Q7" s="8" t="str">
        <f>IF($J$1="ENG","2nd","2-й")</f>
        <v>2-й</v>
      </c>
      <c r="R7" s="8" t="str">
        <f>IF($J$1="ENG","3rd","3-й")</f>
        <v>3-й</v>
      </c>
      <c r="S7" s="51" t="str">
        <f>IF($J$1="ENG","1st","1-й")</f>
        <v>1-й</v>
      </c>
      <c r="T7" s="51" t="str">
        <f>IF($J$1="ENG","2nd","2-й")</f>
        <v>2-й</v>
      </c>
      <c r="U7" s="51" t="str">
        <f>IF($J$1="ENG","3rd","3-й")</f>
        <v>3-й</v>
      </c>
      <c r="V7" s="51" t="str">
        <f>IF($J$1="ENG","1st","1-й")</f>
        <v>1-й</v>
      </c>
      <c r="W7" s="51" t="str">
        <f>IF($J$1="ENG","2nd","2-й")</f>
        <v>2-й</v>
      </c>
      <c r="X7" s="51" t="str">
        <f>IF($J$1="ENG","3rd","3-й")</f>
        <v>3-й</v>
      </c>
      <c r="Y7" s="51" t="str">
        <f>IF($J$1="ENG","1st","1-й")</f>
        <v>1-й</v>
      </c>
      <c r="Z7" s="51" t="str">
        <f>IF($J$1="ENG","2nd","2-й")</f>
        <v>2-й</v>
      </c>
      <c r="AA7" s="51" t="str">
        <f>IF($J$1="ENG","3rd","3-й")</f>
        <v>3-й</v>
      </c>
      <c r="AB7" s="82" t="str">
        <f>IF($J$1="ENG","1st","1-й")</f>
        <v>1-й</v>
      </c>
      <c r="AC7" s="82" t="str">
        <f>IF($J$1="ENG","2nd","2-й")</f>
        <v>2-й</v>
      </c>
      <c r="AD7" s="82" t="str">
        <f>IF($J$1="ENG","3rd","3-й")</f>
        <v>3-й</v>
      </c>
      <c r="AE7" s="83" t="str">
        <f>IF($J$1="ENG","1st","1-й")</f>
        <v>1-й</v>
      </c>
      <c r="AF7" s="51" t="str">
        <f>IF($J$1="ENG","2nd","2-й")</f>
        <v>2-й</v>
      </c>
      <c r="AG7" s="51" t="str">
        <f>IF($J$1="ENG","3rd","3-й")</f>
        <v>3-й</v>
      </c>
      <c r="AH7" s="51" t="str">
        <f>IF($J$1="ENG","1st","1-й")</f>
        <v>1-й</v>
      </c>
      <c r="AI7" s="51" t="str">
        <f>IF($J$1="ENG","2nd","2-й")</f>
        <v>2-й</v>
      </c>
      <c r="AJ7" s="51" t="str">
        <f>IF($J$1="ENG","3rd","3-й")</f>
        <v>3-й</v>
      </c>
      <c r="AK7" s="51" t="str">
        <f>IF($J$1="ENG","1st","1-й")</f>
        <v>1-й</v>
      </c>
      <c r="AL7" s="51" t="str">
        <f>IF($J$1="ENG","2nd","2-й")</f>
        <v>2-й</v>
      </c>
      <c r="AM7" s="51" t="str">
        <f>IF($J$1="ENG","3rd","3-й")</f>
        <v>3-й</v>
      </c>
      <c r="AN7" s="51" t="str">
        <f>IF($J$1="ENG","1st","1-й")</f>
        <v>1-й</v>
      </c>
      <c r="AO7" s="51" t="str">
        <f>IF($J$1="ENG","2nd","2-й")</f>
        <v>2-й</v>
      </c>
      <c r="AP7" s="51" t="str">
        <f>IF($J$1="ENG","3rd","3-й")</f>
        <v>3-й</v>
      </c>
      <c r="AQ7" s="82" t="str">
        <f>IF($J$1="ENG","1st","1-й")</f>
        <v>1-й</v>
      </c>
      <c r="AR7" s="82" t="str">
        <f>IF($J$1="ENG","2nd","2-й")</f>
        <v>2-й</v>
      </c>
      <c r="AS7" s="82" t="str">
        <f>IF($J$1="ENG","3rd","3-й")</f>
        <v>3-й</v>
      </c>
      <c r="AT7" s="176" t="str">
        <f>IF($J$1="ENG","CAR","Н2")</f>
        <v>Н2</v>
      </c>
      <c r="AU7" s="176" t="str">
        <f>IF($J$1="ENG","Core capital ratio","Н3")</f>
        <v>Н3</v>
      </c>
      <c r="AV7" s="176" t="str">
        <f>IF($J$1="ENG","CAR","Н2")</f>
        <v>Н2</v>
      </c>
      <c r="AW7" s="176" t="str">
        <f>IF($J$1="ENG","Core capital ratio","Н3")</f>
        <v>Н3</v>
      </c>
      <c r="AX7" s="176" t="str">
        <f>IF($J$1="ENG","CAR","Н2")</f>
        <v>Н2</v>
      </c>
      <c r="AY7" s="176" t="str">
        <f>IF($J$1="ENG","Core capital ratio","Н3")</f>
        <v>Н3</v>
      </c>
      <c r="AZ7" s="176" t="str">
        <f>IF($J$1="ENG","CAR","Н2")</f>
        <v>Н2</v>
      </c>
      <c r="BA7" s="176" t="str">
        <f>IF($J$1="ENG","Core capital ratio","Н3")</f>
        <v>Н3</v>
      </c>
    </row>
    <row r="8" spans="1:58" ht="18.600000000000001" customHeight="1" x14ac:dyDescent="0.25">
      <c r="A8" s="216"/>
      <c r="B8" s="216"/>
      <c r="C8" s="216"/>
      <c r="D8" s="216"/>
      <c r="E8" s="200"/>
      <c r="F8" s="201"/>
      <c r="G8" s="201"/>
      <c r="H8" s="201"/>
      <c r="I8" s="202"/>
      <c r="J8" s="200"/>
      <c r="K8" s="201"/>
      <c r="L8" s="201"/>
      <c r="M8" s="201"/>
      <c r="N8" s="201"/>
      <c r="O8" s="202"/>
      <c r="P8" s="178" t="str">
        <f>IF($J$1="ENG","forecast year","прогнозний рік")</f>
        <v>прогнозний рік</v>
      </c>
      <c r="Q8" s="178"/>
      <c r="R8" s="178"/>
      <c r="S8" s="178" t="str">
        <f>IF($J$1="ENG","forecast year","прогнозний рік")</f>
        <v>прогнозний рік</v>
      </c>
      <c r="T8" s="178"/>
      <c r="U8" s="178"/>
      <c r="V8" s="178" t="str">
        <f>IF($J$1="ENG","forecast year","прогнозний рік")</f>
        <v>прогнозний рік</v>
      </c>
      <c r="W8" s="178"/>
      <c r="X8" s="178"/>
      <c r="Y8" s="178" t="str">
        <f>IF($J$1="ENG","forecast year","прогнозний рік")</f>
        <v>прогнозний рік</v>
      </c>
      <c r="Z8" s="178"/>
      <c r="AA8" s="178"/>
      <c r="AB8" s="178" t="str">
        <f>IF($J$1="ENG","forecast year","прогнозний рік")</f>
        <v>прогнозний рік</v>
      </c>
      <c r="AC8" s="178"/>
      <c r="AD8" s="178"/>
      <c r="AE8" s="178" t="str">
        <f>IF($J$1="ENG","forecast year","прогнозний рік")</f>
        <v>прогнозний рік</v>
      </c>
      <c r="AF8" s="178"/>
      <c r="AG8" s="178"/>
      <c r="AH8" s="178" t="str">
        <f>IF($J$1="ENG","forecast year","прогнозний рік")</f>
        <v>прогнозний рік</v>
      </c>
      <c r="AI8" s="178"/>
      <c r="AJ8" s="178"/>
      <c r="AK8" s="178" t="str">
        <f>IF($J$1="ENG","forecast year","прогнозний рік")</f>
        <v>прогнозний рік</v>
      </c>
      <c r="AL8" s="178"/>
      <c r="AM8" s="178"/>
      <c r="AN8" s="178" t="str">
        <f>IF($J$1="ENG","forecast year","прогнозний рік")</f>
        <v>прогнозний рік</v>
      </c>
      <c r="AO8" s="178"/>
      <c r="AP8" s="178"/>
      <c r="AQ8" s="178" t="str">
        <f>IF($J$1="ENG","forecast year","прогнозний рік")</f>
        <v>прогнозний рік</v>
      </c>
      <c r="AR8" s="178"/>
      <c r="AS8" s="178"/>
      <c r="AT8" s="177"/>
      <c r="AU8" s="177"/>
      <c r="AV8" s="177"/>
      <c r="AW8" s="177"/>
      <c r="AX8" s="177"/>
      <c r="AY8" s="177"/>
      <c r="AZ8" s="177"/>
      <c r="BA8" s="177"/>
    </row>
    <row r="9" spans="1:58" x14ac:dyDescent="0.25">
      <c r="A9" s="9">
        <v>1</v>
      </c>
      <c r="B9" s="9">
        <v>2</v>
      </c>
      <c r="C9" s="9">
        <v>3</v>
      </c>
      <c r="D9" s="9">
        <v>4</v>
      </c>
      <c r="E9" s="65">
        <v>5</v>
      </c>
      <c r="F9" s="65">
        <v>6</v>
      </c>
      <c r="G9" s="65">
        <v>7</v>
      </c>
      <c r="H9" s="65">
        <v>8</v>
      </c>
      <c r="I9" s="9"/>
      <c r="J9" s="63">
        <v>9</v>
      </c>
      <c r="K9" s="63">
        <v>10</v>
      </c>
      <c r="L9" s="65">
        <v>11</v>
      </c>
      <c r="M9" s="65">
        <v>12</v>
      </c>
      <c r="N9" s="65">
        <v>13</v>
      </c>
      <c r="O9" s="63"/>
      <c r="P9" s="63">
        <v>13</v>
      </c>
      <c r="Q9" s="63">
        <v>14</v>
      </c>
      <c r="R9" s="65">
        <v>15</v>
      </c>
      <c r="S9" s="65">
        <v>16</v>
      </c>
      <c r="T9" s="65">
        <v>17</v>
      </c>
      <c r="U9" s="65">
        <v>18</v>
      </c>
      <c r="V9" s="65">
        <v>19</v>
      </c>
      <c r="W9" s="65">
        <v>20</v>
      </c>
      <c r="X9" s="65">
        <v>21</v>
      </c>
      <c r="Y9" s="65">
        <v>22</v>
      </c>
      <c r="Z9" s="65">
        <v>23</v>
      </c>
      <c r="AA9" s="65">
        <v>24</v>
      </c>
      <c r="AB9" s="63"/>
      <c r="AC9" s="63"/>
      <c r="AD9" s="63"/>
      <c r="AE9" s="84">
        <v>25</v>
      </c>
      <c r="AF9" s="63">
        <v>26</v>
      </c>
      <c r="AG9" s="65">
        <v>27</v>
      </c>
      <c r="AH9" s="65">
        <v>28</v>
      </c>
      <c r="AI9" s="65">
        <v>29</v>
      </c>
      <c r="AJ9" s="65">
        <v>30</v>
      </c>
      <c r="AK9" s="65">
        <v>31</v>
      </c>
      <c r="AL9" s="65">
        <v>32</v>
      </c>
      <c r="AM9" s="65">
        <v>33</v>
      </c>
      <c r="AN9" s="65">
        <v>34</v>
      </c>
      <c r="AO9" s="65">
        <v>35</v>
      </c>
      <c r="AP9" s="65">
        <v>36</v>
      </c>
      <c r="AQ9" s="111">
        <v>37</v>
      </c>
      <c r="AR9" s="111">
        <v>38</v>
      </c>
      <c r="AS9" s="111">
        <v>39</v>
      </c>
      <c r="AT9" s="113">
        <v>40</v>
      </c>
      <c r="AU9" s="113">
        <v>41</v>
      </c>
      <c r="AV9" s="114">
        <v>42</v>
      </c>
      <c r="AW9" s="114">
        <v>43</v>
      </c>
      <c r="AX9" s="114">
        <v>44</v>
      </c>
      <c r="AY9" s="114">
        <v>45</v>
      </c>
      <c r="AZ9" s="114">
        <v>48</v>
      </c>
      <c r="BA9" s="114">
        <v>49</v>
      </c>
    </row>
    <row r="10" spans="1:58" x14ac:dyDescent="0.25">
      <c r="A10" s="3">
        <v>1</v>
      </c>
      <c r="B10" s="3">
        <v>46</v>
      </c>
      <c r="C10" s="33" t="str">
        <f>IF($J$1="ENG","Privatbank","Приватбанк")</f>
        <v>Приватбанк</v>
      </c>
      <c r="D10" s="3" t="str">
        <f>IF($J$1="ENG","State-owned banks","Банки з державною часткою")</f>
        <v>Банки з державною часткою</v>
      </c>
      <c r="E10" s="4">
        <v>17643.186000000002</v>
      </c>
      <c r="F10" s="4">
        <v>35256.127</v>
      </c>
      <c r="G10" s="30">
        <v>0.28499999999999998</v>
      </c>
      <c r="H10" s="30">
        <v>0.1426</v>
      </c>
      <c r="I10" s="4">
        <v>123725.00701262272</v>
      </c>
      <c r="J10" s="120" t="str">
        <f>IF($J$1="ENG","no","ні")</f>
        <v>ні</v>
      </c>
      <c r="K10" s="4">
        <v>17643.186000000002</v>
      </c>
      <c r="L10" s="4">
        <v>35256.127</v>
      </c>
      <c r="M10" s="30">
        <v>0.28499999999999998</v>
      </c>
      <c r="N10" s="30">
        <v>0.1426</v>
      </c>
      <c r="O10" s="4">
        <v>123725.00701262272</v>
      </c>
      <c r="P10" s="4">
        <v>34680.118999999999</v>
      </c>
      <c r="Q10" s="4">
        <v>50533.258999999998</v>
      </c>
      <c r="R10" s="4">
        <v>63527.572</v>
      </c>
      <c r="S10" s="4">
        <v>46245.04</v>
      </c>
      <c r="T10" s="4">
        <v>62098.18</v>
      </c>
      <c r="U10" s="4">
        <v>75092.494000000006</v>
      </c>
      <c r="V10" s="30">
        <v>0.2555</v>
      </c>
      <c r="W10" s="30">
        <v>0.27729999999999999</v>
      </c>
      <c r="X10" s="30">
        <v>0.33579999999999999</v>
      </c>
      <c r="Y10" s="30">
        <v>0.19159999999999999</v>
      </c>
      <c r="Z10" s="30">
        <v>0.22570000000000001</v>
      </c>
      <c r="AA10" s="30">
        <v>0.28410000000000002</v>
      </c>
      <c r="AB10" s="4">
        <v>181002.70876826721</v>
      </c>
      <c r="AC10" s="4">
        <v>223895.6978289765</v>
      </c>
      <c r="AD10" s="4">
        <v>223609.89792326643</v>
      </c>
      <c r="AE10" s="4">
        <v>30730.554</v>
      </c>
      <c r="AF10" s="4">
        <v>40608.883999999998</v>
      </c>
      <c r="AG10" s="4">
        <v>48818.455000000002</v>
      </c>
      <c r="AH10" s="4">
        <v>42295.474999999999</v>
      </c>
      <c r="AI10" s="4">
        <v>52173.805</v>
      </c>
      <c r="AJ10" s="4">
        <v>60383.375999999997</v>
      </c>
      <c r="AK10" s="62">
        <v>0.22950000000000001</v>
      </c>
      <c r="AL10" s="62">
        <v>0.23169999999999999</v>
      </c>
      <c r="AM10" s="62">
        <v>0.2641</v>
      </c>
      <c r="AN10" s="62">
        <v>0.16669999999999999</v>
      </c>
      <c r="AO10" s="62">
        <v>0.18029999999999999</v>
      </c>
      <c r="AP10" s="62">
        <v>0.2135</v>
      </c>
      <c r="AQ10" s="4">
        <v>184346.45470905819</v>
      </c>
      <c r="AR10" s="4">
        <v>225229.52856350527</v>
      </c>
      <c r="AS10" s="4">
        <v>228657.86885245904</v>
      </c>
      <c r="AT10" s="62">
        <v>0.1</v>
      </c>
      <c r="AU10" s="62">
        <v>7.0000000000000007E-2</v>
      </c>
      <c r="AV10" s="62">
        <v>0.1</v>
      </c>
      <c r="AW10" s="62">
        <v>7.0000000000000007E-2</v>
      </c>
      <c r="AX10" s="30">
        <v>0.1</v>
      </c>
      <c r="AY10" s="30">
        <v>7.0000000000000007E-2</v>
      </c>
      <c r="AZ10" s="62">
        <v>0.2732</v>
      </c>
      <c r="BA10" s="62">
        <v>0.13669999999999999</v>
      </c>
      <c r="BB10" s="46"/>
      <c r="BC10" s="46"/>
      <c r="BD10" s="32"/>
      <c r="BE10" s="46"/>
      <c r="BF10" s="46"/>
    </row>
    <row r="11" spans="1:58" x14ac:dyDescent="0.25">
      <c r="A11" s="3">
        <v>2</v>
      </c>
      <c r="B11" s="3">
        <v>6</v>
      </c>
      <c r="C11" s="33" t="str">
        <f>IF($J$1="ENG","Oschadbank","Ощадбанк")</f>
        <v>Ощадбанк</v>
      </c>
      <c r="D11" s="3" t="str">
        <f>IF($J$1="ENG","State-owned banks","Банки з державною часткою")</f>
        <v>Банки з державною часткою</v>
      </c>
      <c r="E11" s="4">
        <v>12534.599</v>
      </c>
      <c r="F11" s="4">
        <v>17168.044000000002</v>
      </c>
      <c r="G11" s="30">
        <v>0.18379999999999999</v>
      </c>
      <c r="H11" s="30">
        <v>0.13420000000000001</v>
      </c>
      <c r="I11" s="4">
        <v>93402.377049180315</v>
      </c>
      <c r="J11" s="120" t="str">
        <f t="shared" ref="J11:J39" si="0">IF($J$1="ENG","no","ні")</f>
        <v>ні</v>
      </c>
      <c r="K11" s="4">
        <v>12534.599</v>
      </c>
      <c r="L11" s="4">
        <v>17167.84</v>
      </c>
      <c r="M11" s="30">
        <v>0.18379999999999999</v>
      </c>
      <c r="N11" s="30">
        <v>0.13420000000000001</v>
      </c>
      <c r="O11" s="4">
        <v>93402.377049180315</v>
      </c>
      <c r="P11" s="4">
        <v>14967.019</v>
      </c>
      <c r="Q11" s="4">
        <v>14102.571</v>
      </c>
      <c r="R11" s="4">
        <v>11347.867</v>
      </c>
      <c r="S11" s="4">
        <v>16321.641</v>
      </c>
      <c r="T11" s="4">
        <v>15140.227999999999</v>
      </c>
      <c r="U11" s="4">
        <v>12203.063</v>
      </c>
      <c r="V11" s="30">
        <v>0.15190000000000001</v>
      </c>
      <c r="W11" s="30">
        <v>0.12670000000000001</v>
      </c>
      <c r="X11" s="30">
        <v>0.1033</v>
      </c>
      <c r="Y11" s="30">
        <v>0.13930000000000001</v>
      </c>
      <c r="Z11" s="30">
        <v>0.1181</v>
      </c>
      <c r="AA11" s="30">
        <v>9.6000000000000002E-2</v>
      </c>
      <c r="AB11" s="4">
        <v>107444.50107681264</v>
      </c>
      <c r="AC11" s="4">
        <v>119412.11685012701</v>
      </c>
      <c r="AD11" s="4">
        <v>118206.94791666667</v>
      </c>
      <c r="AE11" s="4">
        <v>8092.4489999999996</v>
      </c>
      <c r="AF11" s="4">
        <v>1458.93</v>
      </c>
      <c r="AG11" s="4">
        <v>-7081.442</v>
      </c>
      <c r="AH11" s="4">
        <v>9538.8639999999996</v>
      </c>
      <c r="AI11" s="4">
        <v>2543.0450000000001</v>
      </c>
      <c r="AJ11" s="4">
        <v>-7133.3</v>
      </c>
      <c r="AK11" s="62">
        <v>8.5400000000000004E-2</v>
      </c>
      <c r="AL11" s="62">
        <v>2.0400000000000001E-2</v>
      </c>
      <c r="AM11" s="62">
        <v>-5.5899999999999998E-2</v>
      </c>
      <c r="AN11" s="62">
        <v>7.2400000000000006E-2</v>
      </c>
      <c r="AO11" s="62">
        <v>1.17E-2</v>
      </c>
      <c r="AP11" s="62">
        <v>-5.5500000000000001E-2</v>
      </c>
      <c r="AQ11" s="4">
        <v>111774.15745856352</v>
      </c>
      <c r="AR11" s="4">
        <v>124694.8717948718</v>
      </c>
      <c r="AS11" s="4">
        <v>127593.54954954954</v>
      </c>
      <c r="AT11" s="62">
        <v>0.1</v>
      </c>
      <c r="AU11" s="62">
        <v>9.8000000000000004E-2</v>
      </c>
      <c r="AV11" s="62">
        <v>0.27500000000000002</v>
      </c>
      <c r="AW11" s="62">
        <v>0.26</v>
      </c>
      <c r="AX11" s="30">
        <v>0.13700000000000001</v>
      </c>
      <c r="AY11" s="30">
        <v>9.9000000000000005E-2</v>
      </c>
      <c r="AZ11" s="62">
        <v>0.1782</v>
      </c>
      <c r="BA11" s="62">
        <v>0.14069999999999999</v>
      </c>
      <c r="BB11" s="115"/>
      <c r="BC11" s="115"/>
      <c r="BD11" s="32"/>
      <c r="BE11" s="46"/>
      <c r="BF11" s="46"/>
    </row>
    <row r="12" spans="1:58" x14ac:dyDescent="0.25">
      <c r="A12" s="3">
        <v>3</v>
      </c>
      <c r="B12" s="3">
        <v>2</v>
      </c>
      <c r="C12" s="33" t="str">
        <f>IF($J$1="ENG","Ukreximbank","Укрексімбанк")</f>
        <v>Укрексімбанк</v>
      </c>
      <c r="D12" s="3" t="str">
        <f>IF($J$1="ENG","State-owned banks","Банки з державною часткою")</f>
        <v>Банки з державною часткою</v>
      </c>
      <c r="E12" s="4">
        <v>8969.3050000000003</v>
      </c>
      <c r="F12" s="4">
        <v>13505.563</v>
      </c>
      <c r="G12" s="30">
        <v>0.21240000000000001</v>
      </c>
      <c r="H12" s="30">
        <v>0.1411</v>
      </c>
      <c r="I12" s="4">
        <v>63567.009213323887</v>
      </c>
      <c r="J12" s="120" t="str">
        <f t="shared" si="0"/>
        <v>ні</v>
      </c>
      <c r="K12" s="4">
        <v>8969.3050000000003</v>
      </c>
      <c r="L12" s="4">
        <v>13505.563</v>
      </c>
      <c r="M12" s="30">
        <v>0.21240000000000001</v>
      </c>
      <c r="N12" s="30">
        <v>0.1411</v>
      </c>
      <c r="O12" s="4">
        <v>63567.009213323887</v>
      </c>
      <c r="P12" s="4">
        <v>8003.88</v>
      </c>
      <c r="Q12" s="4">
        <v>6338.6310000000003</v>
      </c>
      <c r="R12" s="4">
        <v>3709.1529999999998</v>
      </c>
      <c r="S12" s="4">
        <v>11518.466</v>
      </c>
      <c r="T12" s="4">
        <v>9616.7620000000006</v>
      </c>
      <c r="U12" s="4">
        <v>6916.5150000000003</v>
      </c>
      <c r="V12" s="30">
        <v>0.17119999999999999</v>
      </c>
      <c r="W12" s="30">
        <v>0.13250000000000001</v>
      </c>
      <c r="X12" s="30">
        <v>9.5699999999999993E-2</v>
      </c>
      <c r="Y12" s="30">
        <v>0.11890000000000001</v>
      </c>
      <c r="Z12" s="30">
        <v>8.7400000000000005E-2</v>
      </c>
      <c r="AA12" s="30">
        <v>5.1299999999999998E-2</v>
      </c>
      <c r="AB12" s="4">
        <v>67316.063919259876</v>
      </c>
      <c r="AC12" s="4">
        <v>72524.382151029742</v>
      </c>
      <c r="AD12" s="4">
        <v>72303.177387914227</v>
      </c>
      <c r="AE12" s="4">
        <v>966.38800000000003</v>
      </c>
      <c r="AF12" s="4">
        <v>-3881.7469999999998</v>
      </c>
      <c r="AG12" s="4">
        <v>-12175.645</v>
      </c>
      <c r="AH12" s="4">
        <v>1910.173</v>
      </c>
      <c r="AI12" s="4">
        <v>-3904.3490000000002</v>
      </c>
      <c r="AJ12" s="4">
        <v>-12198.246999999999</v>
      </c>
      <c r="AK12" s="62">
        <v>2.6100000000000002E-2</v>
      </c>
      <c r="AL12" s="62">
        <v>-4.8500000000000001E-2</v>
      </c>
      <c r="AM12" s="62">
        <v>-0.1444</v>
      </c>
      <c r="AN12" s="62">
        <v>1.32E-2</v>
      </c>
      <c r="AO12" s="62">
        <v>-4.82E-2</v>
      </c>
      <c r="AP12" s="62">
        <v>-0.14410000000000001</v>
      </c>
      <c r="AQ12" s="4">
        <v>73211.212121212127</v>
      </c>
      <c r="AR12" s="4">
        <v>80534.17012448133</v>
      </c>
      <c r="AS12" s="4">
        <v>84494.41360166551</v>
      </c>
      <c r="AT12" s="62">
        <v>0.191</v>
      </c>
      <c r="AU12" s="62">
        <v>0.161</v>
      </c>
      <c r="AV12" s="62">
        <v>0.39100000000000001</v>
      </c>
      <c r="AW12" s="62">
        <v>0.376</v>
      </c>
      <c r="AX12" s="30">
        <v>0.1</v>
      </c>
      <c r="AY12" s="30">
        <v>7.0000000000000007E-2</v>
      </c>
      <c r="AZ12" s="62">
        <v>0.2064</v>
      </c>
      <c r="BA12" s="62">
        <v>0.124</v>
      </c>
      <c r="BB12" s="46"/>
      <c r="BC12" s="46"/>
      <c r="BD12" s="32"/>
      <c r="BE12" s="46"/>
      <c r="BF12" s="46"/>
    </row>
    <row r="13" spans="1:58" x14ac:dyDescent="0.25">
      <c r="A13" s="3">
        <v>4</v>
      </c>
      <c r="B13" s="3">
        <v>274</v>
      </c>
      <c r="C13" s="33" t="str">
        <f>IF($J$1="ENG","Ukrgasbank","Укргазбанк")</f>
        <v>Укргазбанк</v>
      </c>
      <c r="D13" s="3" t="str">
        <f>IF($J$1="ENG","State-owned banks","Банки з державною часткою")</f>
        <v>Банки з державною часткою</v>
      </c>
      <c r="E13" s="4">
        <v>8456.1170000000002</v>
      </c>
      <c r="F13" s="4">
        <v>8695.4549999999999</v>
      </c>
      <c r="G13" s="30">
        <v>0.14979999999999999</v>
      </c>
      <c r="H13" s="30">
        <v>0.14560000000000001</v>
      </c>
      <c r="I13" s="4">
        <v>58077.726648351643</v>
      </c>
      <c r="J13" s="120" t="str">
        <f t="shared" si="0"/>
        <v>ні</v>
      </c>
      <c r="K13" s="4">
        <v>8456.1170000000002</v>
      </c>
      <c r="L13" s="4">
        <v>8695.4549999999999</v>
      </c>
      <c r="M13" s="30">
        <v>0.14979999999999999</v>
      </c>
      <c r="N13" s="30">
        <v>0.14560000000000001</v>
      </c>
      <c r="O13" s="4">
        <v>58077.726648351643</v>
      </c>
      <c r="P13" s="4">
        <v>9297.7479999999996</v>
      </c>
      <c r="Q13" s="4">
        <v>10129.968999999999</v>
      </c>
      <c r="R13" s="4">
        <v>10060.956</v>
      </c>
      <c r="S13" s="4">
        <v>9357.0910000000003</v>
      </c>
      <c r="T13" s="4">
        <v>10189.312</v>
      </c>
      <c r="U13" s="4">
        <v>10120.299000000001</v>
      </c>
      <c r="V13" s="30">
        <v>0.14979999999999999</v>
      </c>
      <c r="W13" s="30">
        <v>0.15160000000000001</v>
      </c>
      <c r="X13" s="30">
        <v>0.15090000000000001</v>
      </c>
      <c r="Y13" s="30">
        <v>0.14879999999999999</v>
      </c>
      <c r="Z13" s="30">
        <v>0.1507</v>
      </c>
      <c r="AA13" s="30">
        <v>0.15</v>
      </c>
      <c r="AB13" s="4">
        <v>62484.865591397851</v>
      </c>
      <c r="AC13" s="4">
        <v>67219.435965494355</v>
      </c>
      <c r="AD13" s="4">
        <v>67073.040000000008</v>
      </c>
      <c r="AE13" s="4">
        <v>1785.576</v>
      </c>
      <c r="AF13" s="4">
        <v>-1028.989</v>
      </c>
      <c r="AG13" s="4">
        <v>-3406.3220000000001</v>
      </c>
      <c r="AH13" s="4">
        <v>1844.9190000000001</v>
      </c>
      <c r="AI13" s="4">
        <v>-1035.6489999999999</v>
      </c>
      <c r="AJ13" s="4">
        <v>-3412.982</v>
      </c>
      <c r="AK13" s="62">
        <v>2.7699999999999999E-2</v>
      </c>
      <c r="AL13" s="62">
        <v>-1.44E-2</v>
      </c>
      <c r="AM13" s="62">
        <v>-4.5999999999999999E-2</v>
      </c>
      <c r="AN13" s="62">
        <v>2.6800000000000001E-2</v>
      </c>
      <c r="AO13" s="62">
        <v>-1.43E-2</v>
      </c>
      <c r="AP13" s="62">
        <v>-4.5900000000000003E-2</v>
      </c>
      <c r="AQ13" s="4">
        <v>66625.970149253728</v>
      </c>
      <c r="AR13" s="4">
        <v>71957.272727272735</v>
      </c>
      <c r="AS13" s="4">
        <v>74211.808278867102</v>
      </c>
      <c r="AT13" s="62">
        <v>0.1</v>
      </c>
      <c r="AU13" s="62">
        <v>7.0000000000000007E-2</v>
      </c>
      <c r="AV13" s="62">
        <v>0.25700000000000001</v>
      </c>
      <c r="AW13" s="62">
        <v>0.24199999999999999</v>
      </c>
      <c r="AX13" s="30">
        <v>0.1</v>
      </c>
      <c r="AY13" s="30">
        <v>7.0000000000000007E-2</v>
      </c>
      <c r="AZ13" s="62">
        <v>0.2001</v>
      </c>
      <c r="BA13" s="62">
        <v>0.15870000000000001</v>
      </c>
      <c r="BB13" s="46"/>
      <c r="BC13" s="46"/>
      <c r="BD13" s="32"/>
      <c r="BE13" s="46"/>
      <c r="BF13" s="46"/>
    </row>
    <row r="14" spans="1:58" x14ac:dyDescent="0.25">
      <c r="A14" s="3">
        <v>5</v>
      </c>
      <c r="B14" s="3">
        <v>272</v>
      </c>
      <c r="C14" s="33" t="str">
        <f>IF($J$1="ENG","Sense","Сенс")</f>
        <v>Сенс</v>
      </c>
      <c r="D14" s="3" t="str">
        <f>IF($J$1="ENG","Foreign banks","Банки іноземних банківських груп")</f>
        <v>Банки іноземних банківських груп</v>
      </c>
      <c r="E14" s="4">
        <v>7055.0510000000004</v>
      </c>
      <c r="F14" s="4">
        <v>8390.7289999999994</v>
      </c>
      <c r="G14" s="30">
        <v>0.13439999999999999</v>
      </c>
      <c r="H14" s="30">
        <v>0.113</v>
      </c>
      <c r="I14" s="4">
        <v>62434.079646017701</v>
      </c>
      <c r="J14" s="120" t="str">
        <f t="shared" si="0"/>
        <v>ні</v>
      </c>
      <c r="K14" s="4">
        <v>7054.52</v>
      </c>
      <c r="L14" s="4">
        <v>8390.1980000000003</v>
      </c>
      <c r="M14" s="30">
        <v>0.13439999999999999</v>
      </c>
      <c r="N14" s="30">
        <v>0.113</v>
      </c>
      <c r="O14" s="4">
        <v>62429.380530973453</v>
      </c>
      <c r="P14" s="4">
        <v>9420.7049999999999</v>
      </c>
      <c r="Q14" s="4">
        <v>12179.849</v>
      </c>
      <c r="R14" s="4">
        <v>14622.172</v>
      </c>
      <c r="S14" s="4">
        <v>10485.626</v>
      </c>
      <c r="T14" s="4">
        <v>12977.011</v>
      </c>
      <c r="U14" s="4">
        <v>15125.597</v>
      </c>
      <c r="V14" s="30">
        <v>0.1394</v>
      </c>
      <c r="W14" s="30">
        <v>0.15640000000000001</v>
      </c>
      <c r="X14" s="30">
        <v>0.18260000000000001</v>
      </c>
      <c r="Y14" s="30">
        <v>0.12529999999999999</v>
      </c>
      <c r="Z14" s="30">
        <v>0.1467</v>
      </c>
      <c r="AA14" s="30">
        <v>0.17649999999999999</v>
      </c>
      <c r="AB14" s="4">
        <v>75185.195530726254</v>
      </c>
      <c r="AC14" s="4">
        <v>83025.555555555562</v>
      </c>
      <c r="AD14" s="4">
        <v>82845.167138810211</v>
      </c>
      <c r="AE14" s="4">
        <v>4970.0959999999995</v>
      </c>
      <c r="AF14" s="4">
        <v>5301.3490000000002</v>
      </c>
      <c r="AG14" s="4">
        <v>6147.5349999999999</v>
      </c>
      <c r="AH14" s="4">
        <v>6230.8410000000003</v>
      </c>
      <c r="AI14" s="4">
        <v>6284.3440000000001</v>
      </c>
      <c r="AJ14" s="4">
        <v>6830.799</v>
      </c>
      <c r="AK14" s="62">
        <v>8.2299999999999998E-2</v>
      </c>
      <c r="AL14" s="62">
        <v>7.5999999999999998E-2</v>
      </c>
      <c r="AM14" s="62">
        <v>8.1000000000000003E-2</v>
      </c>
      <c r="AN14" s="62">
        <v>6.5600000000000006E-2</v>
      </c>
      <c r="AO14" s="62">
        <v>6.4100000000000004E-2</v>
      </c>
      <c r="AP14" s="62">
        <v>7.2900000000000006E-2</v>
      </c>
      <c r="AQ14" s="4">
        <v>75763.658536585353</v>
      </c>
      <c r="AR14" s="4">
        <v>82704.352574102959</v>
      </c>
      <c r="AS14" s="4">
        <v>84328.326474622765</v>
      </c>
      <c r="AT14" s="62">
        <v>0.1</v>
      </c>
      <c r="AU14" s="62">
        <v>7.0000000000000007E-2</v>
      </c>
      <c r="AV14" s="62">
        <v>0.1</v>
      </c>
      <c r="AW14" s="62">
        <v>7.0000000000000007E-2</v>
      </c>
      <c r="AX14" s="30">
        <v>0.1</v>
      </c>
      <c r="AY14" s="30">
        <v>7.0000000000000007E-2</v>
      </c>
      <c r="AZ14" s="62">
        <v>0.14349999999999999</v>
      </c>
      <c r="BA14" s="62">
        <v>0.1076</v>
      </c>
      <c r="BB14" s="46"/>
      <c r="BC14" s="46"/>
      <c r="BD14" s="32"/>
      <c r="BE14" s="46"/>
      <c r="BF14" s="46"/>
    </row>
    <row r="15" spans="1:58" x14ac:dyDescent="0.25">
      <c r="A15" s="3">
        <v>6</v>
      </c>
      <c r="B15" s="3">
        <v>36</v>
      </c>
      <c r="C15" s="33" t="str">
        <f>IF($J$1="ENG","Raiffeisen Bank","Райффайзен Банк")</f>
        <v>Райффайзен Банк</v>
      </c>
      <c r="D15" s="3" t="str">
        <f>IF($J$1="ENG","Foreign banks","Банки іноземних банківських груп")</f>
        <v>Банки іноземних банківських груп</v>
      </c>
      <c r="E15" s="4">
        <v>6904.1109999999999</v>
      </c>
      <c r="F15" s="4">
        <v>10651.874</v>
      </c>
      <c r="G15" s="30">
        <v>0.1694</v>
      </c>
      <c r="H15" s="30">
        <v>0.10979999999999999</v>
      </c>
      <c r="I15" s="4">
        <v>62878.970856102009</v>
      </c>
      <c r="J15" s="120" t="str">
        <f t="shared" si="0"/>
        <v>ні</v>
      </c>
      <c r="K15" s="4">
        <v>6904.1109999999999</v>
      </c>
      <c r="L15" s="4">
        <v>10643.816999999999</v>
      </c>
      <c r="M15" s="30">
        <v>0.16930000000000001</v>
      </c>
      <c r="N15" s="30">
        <v>0.10979999999999999</v>
      </c>
      <c r="O15" s="4">
        <v>62878.970856102009</v>
      </c>
      <c r="P15" s="4">
        <v>11384.894</v>
      </c>
      <c r="Q15" s="4">
        <v>14735.096</v>
      </c>
      <c r="R15" s="4">
        <v>17295.087</v>
      </c>
      <c r="S15" s="4">
        <v>11684.548000000001</v>
      </c>
      <c r="T15" s="4">
        <v>15034.75</v>
      </c>
      <c r="U15" s="4">
        <v>17594.740000000002</v>
      </c>
      <c r="V15" s="30">
        <v>0.15490000000000001</v>
      </c>
      <c r="W15" s="30">
        <v>0.17510000000000001</v>
      </c>
      <c r="X15" s="30">
        <v>0.20519999999999999</v>
      </c>
      <c r="Y15" s="30">
        <v>0.15090000000000001</v>
      </c>
      <c r="Z15" s="30">
        <v>0.1716</v>
      </c>
      <c r="AA15" s="30">
        <v>0.20169999999999999</v>
      </c>
      <c r="AB15" s="4">
        <v>75446.613651424777</v>
      </c>
      <c r="AC15" s="4">
        <v>85868.857808857807</v>
      </c>
      <c r="AD15" s="4">
        <v>85746.588993554789</v>
      </c>
      <c r="AE15" s="4">
        <v>8211.9369999999999</v>
      </c>
      <c r="AF15" s="4">
        <v>8525.8960000000006</v>
      </c>
      <c r="AG15" s="4">
        <v>10168.602000000001</v>
      </c>
      <c r="AH15" s="4">
        <v>8511.5910000000003</v>
      </c>
      <c r="AI15" s="4">
        <v>8825.5499999999993</v>
      </c>
      <c r="AJ15" s="4">
        <v>10468.255999999999</v>
      </c>
      <c r="AK15" s="62">
        <v>0.1087</v>
      </c>
      <c r="AL15" s="62">
        <v>0.1007</v>
      </c>
      <c r="AM15" s="62">
        <v>0.11749999999999999</v>
      </c>
      <c r="AN15" s="62">
        <v>0.10489999999999999</v>
      </c>
      <c r="AO15" s="62">
        <v>9.7299999999999998E-2</v>
      </c>
      <c r="AP15" s="62">
        <v>0.1142</v>
      </c>
      <c r="AQ15" s="4">
        <v>78283.479504289804</v>
      </c>
      <c r="AR15" s="4">
        <v>87624.830421377192</v>
      </c>
      <c r="AS15" s="4">
        <v>89042.049036777593</v>
      </c>
      <c r="AT15" s="62">
        <v>0.1</v>
      </c>
      <c r="AU15" s="62">
        <v>7.0000000000000007E-2</v>
      </c>
      <c r="AV15" s="62">
        <v>0.1</v>
      </c>
      <c r="AW15" s="62">
        <v>7.0000000000000007E-2</v>
      </c>
      <c r="AX15" s="30">
        <v>0.1</v>
      </c>
      <c r="AY15" s="30">
        <v>7.0000000000000007E-2</v>
      </c>
      <c r="AZ15" s="62">
        <v>0.15290000000000001</v>
      </c>
      <c r="BA15" s="62">
        <v>0.1069</v>
      </c>
      <c r="BB15" s="46"/>
      <c r="BC15" s="46"/>
      <c r="BD15" s="32"/>
      <c r="BE15" s="46"/>
      <c r="BF15" s="46"/>
    </row>
    <row r="16" spans="1:58" x14ac:dyDescent="0.25">
      <c r="A16" s="3">
        <v>7</v>
      </c>
      <c r="B16" s="3">
        <v>299</v>
      </c>
      <c r="C16" s="33" t="str">
        <f>IF($J$1="ENG","Sberbank","Сбербанк")</f>
        <v>Сбербанк</v>
      </c>
      <c r="D16" s="3" t="str">
        <f>IF($J$1="ENG","Banks owned by Russia","Банки з державним російським капіталом")</f>
        <v>Банки з державним російським капіталом</v>
      </c>
      <c r="E16" s="4">
        <v>8121.6850000000004</v>
      </c>
      <c r="F16" s="4">
        <v>9104.4529999999995</v>
      </c>
      <c r="G16" s="30">
        <v>0.7016</v>
      </c>
      <c r="H16" s="30">
        <v>0.62590000000000001</v>
      </c>
      <c r="I16" s="4">
        <v>12976.010544815466</v>
      </c>
      <c r="J16" s="120" t="str">
        <f t="shared" si="0"/>
        <v>ні</v>
      </c>
      <c r="K16" s="4">
        <v>8121.6850000000004</v>
      </c>
      <c r="L16" s="4">
        <v>9104.4529999999995</v>
      </c>
      <c r="M16" s="30">
        <v>0.7016</v>
      </c>
      <c r="N16" s="30">
        <v>0.62590000000000001</v>
      </c>
      <c r="O16" s="4">
        <v>12976.010544815466</v>
      </c>
      <c r="P16" s="4">
        <v>9575.0769999999993</v>
      </c>
      <c r="Q16" s="4">
        <v>9007.9750000000004</v>
      </c>
      <c r="R16" s="4">
        <v>9222.2579999999998</v>
      </c>
      <c r="S16" s="4">
        <v>9642.5840000000007</v>
      </c>
      <c r="T16" s="4">
        <v>9075.482</v>
      </c>
      <c r="U16" s="4">
        <v>9289.7649999999994</v>
      </c>
      <c r="V16" s="30">
        <v>0.64129999999999998</v>
      </c>
      <c r="W16" s="30">
        <v>0.53680000000000005</v>
      </c>
      <c r="X16" s="30">
        <v>0.55459999999999998</v>
      </c>
      <c r="Y16" s="30">
        <v>0.63680000000000003</v>
      </c>
      <c r="Z16" s="30">
        <v>0.53280000000000005</v>
      </c>
      <c r="AA16" s="30">
        <v>0.55059999999999998</v>
      </c>
      <c r="AB16" s="4">
        <v>15036.239007537686</v>
      </c>
      <c r="AC16" s="4">
        <v>16906.859984984985</v>
      </c>
      <c r="AD16" s="4">
        <v>16749.469669451508</v>
      </c>
      <c r="AE16" s="4">
        <v>8759.36</v>
      </c>
      <c r="AF16" s="4">
        <v>8955.7440000000006</v>
      </c>
      <c r="AG16" s="4">
        <v>7945.5450000000001</v>
      </c>
      <c r="AH16" s="4">
        <v>8826.8670000000002</v>
      </c>
      <c r="AI16" s="4">
        <v>9023.25</v>
      </c>
      <c r="AJ16" s="4">
        <v>8013.0519999999997</v>
      </c>
      <c r="AK16" s="62">
        <v>0.54579999999999995</v>
      </c>
      <c r="AL16" s="62">
        <v>0.4884</v>
      </c>
      <c r="AM16" s="62">
        <v>0.4178</v>
      </c>
      <c r="AN16" s="62">
        <v>0.54159999999999997</v>
      </c>
      <c r="AO16" s="62">
        <v>0.48470000000000002</v>
      </c>
      <c r="AP16" s="62">
        <v>0.41420000000000001</v>
      </c>
      <c r="AQ16" s="4">
        <v>16173.116691285084</v>
      </c>
      <c r="AR16" s="4">
        <v>18476.880544666805</v>
      </c>
      <c r="AS16" s="4">
        <v>19182.870593915981</v>
      </c>
      <c r="AT16" s="62">
        <v>0.1</v>
      </c>
      <c r="AU16" s="62">
        <v>7.1999999999999995E-2</v>
      </c>
      <c r="AV16" s="62">
        <v>0.11899999999999999</v>
      </c>
      <c r="AW16" s="62">
        <v>0.11899999999999999</v>
      </c>
      <c r="AX16" s="30">
        <v>0.11899999999999999</v>
      </c>
      <c r="AY16" s="30">
        <v>0.11899999999999999</v>
      </c>
      <c r="AZ16" s="62">
        <v>1.4624999999999999</v>
      </c>
      <c r="BA16" s="62">
        <v>1.0645</v>
      </c>
      <c r="BB16" s="46"/>
      <c r="BC16" s="46"/>
      <c r="BD16" s="32"/>
      <c r="BE16" s="46"/>
      <c r="BF16" s="46"/>
    </row>
    <row r="17" spans="1:58" x14ac:dyDescent="0.25">
      <c r="A17" s="3">
        <v>8</v>
      </c>
      <c r="B17" s="3">
        <v>136</v>
      </c>
      <c r="C17" s="33" t="str">
        <f>IF($J$1="ENG","Ukrsibbank","УкрСиббанк")</f>
        <v>УкрСиббанк</v>
      </c>
      <c r="D17" s="3" t="str">
        <f t="shared" ref="D17:D24" si="1">IF($J$1="ENG","Foreign banks","Банки іноземних банківських груп")</f>
        <v>Банки іноземних банківських груп</v>
      </c>
      <c r="E17" s="4">
        <v>6244.5029999999997</v>
      </c>
      <c r="F17" s="4">
        <v>6850.8860000000004</v>
      </c>
      <c r="G17" s="30">
        <v>0.2354</v>
      </c>
      <c r="H17" s="30">
        <v>0.21460000000000001</v>
      </c>
      <c r="I17" s="4">
        <v>29098.33643988816</v>
      </c>
      <c r="J17" s="120" t="str">
        <f t="shared" si="0"/>
        <v>ні</v>
      </c>
      <c r="K17" s="4">
        <v>6244.5029999999997</v>
      </c>
      <c r="L17" s="4">
        <v>6869.0439999999999</v>
      </c>
      <c r="M17" s="30">
        <v>0.2359</v>
      </c>
      <c r="N17" s="30">
        <v>0.2145</v>
      </c>
      <c r="O17" s="4">
        <v>29111.902097902097</v>
      </c>
      <c r="P17" s="4">
        <v>8016.4530000000004</v>
      </c>
      <c r="Q17" s="4">
        <v>8829.7559999999994</v>
      </c>
      <c r="R17" s="4">
        <v>9353.0190000000002</v>
      </c>
      <c r="S17" s="4">
        <v>8021.3</v>
      </c>
      <c r="T17" s="4">
        <v>8834.6039999999994</v>
      </c>
      <c r="U17" s="4">
        <v>9357.866</v>
      </c>
      <c r="V17" s="30">
        <v>0.22270000000000001</v>
      </c>
      <c r="W17" s="30">
        <v>0.21460000000000001</v>
      </c>
      <c r="X17" s="30">
        <v>0.22739999999999999</v>
      </c>
      <c r="Y17" s="30">
        <v>0.22259999999999999</v>
      </c>
      <c r="Z17" s="30">
        <v>0.21440000000000001</v>
      </c>
      <c r="AA17" s="30">
        <v>0.2273</v>
      </c>
      <c r="AB17" s="4">
        <v>36012.816711590298</v>
      </c>
      <c r="AC17" s="4">
        <v>41183.563432835814</v>
      </c>
      <c r="AD17" s="4">
        <v>41148.345798504182</v>
      </c>
      <c r="AE17" s="4">
        <v>6802.8530000000001</v>
      </c>
      <c r="AF17" s="4">
        <v>6251.0619999999999</v>
      </c>
      <c r="AG17" s="4">
        <v>6044.1689999999999</v>
      </c>
      <c r="AH17" s="4">
        <v>6807.7</v>
      </c>
      <c r="AI17" s="4">
        <v>6255.9089999999997</v>
      </c>
      <c r="AJ17" s="4">
        <v>6049.0169999999998</v>
      </c>
      <c r="AK17" s="62">
        <v>0.18429999999999999</v>
      </c>
      <c r="AL17" s="62">
        <v>0.14979999999999999</v>
      </c>
      <c r="AM17" s="62">
        <v>0.14299999999999999</v>
      </c>
      <c r="AN17" s="62">
        <v>0.1842</v>
      </c>
      <c r="AO17" s="62">
        <v>0.1497</v>
      </c>
      <c r="AP17" s="62">
        <v>0.1429</v>
      </c>
      <c r="AQ17" s="4">
        <v>36931.883821932679</v>
      </c>
      <c r="AR17" s="4">
        <v>41757.261189044759</v>
      </c>
      <c r="AS17" s="4">
        <v>42296.494051784466</v>
      </c>
      <c r="AT17" s="62">
        <v>0.1</v>
      </c>
      <c r="AU17" s="62">
        <v>7.0000000000000007E-2</v>
      </c>
      <c r="AV17" s="62">
        <v>0.1</v>
      </c>
      <c r="AW17" s="62">
        <v>7.0000000000000007E-2</v>
      </c>
      <c r="AX17" s="30">
        <v>0.1</v>
      </c>
      <c r="AY17" s="30">
        <v>7.0000000000000007E-2</v>
      </c>
      <c r="AZ17" s="62">
        <v>0.24410000000000001</v>
      </c>
      <c r="BA17" s="62">
        <v>0.20519999999999999</v>
      </c>
      <c r="BB17" s="46"/>
      <c r="BC17" s="46"/>
      <c r="BD17" s="32"/>
      <c r="BE17" s="46"/>
      <c r="BF17" s="46"/>
    </row>
    <row r="18" spans="1:58" x14ac:dyDescent="0.25">
      <c r="A18" s="3">
        <v>9</v>
      </c>
      <c r="B18" s="3">
        <v>296</v>
      </c>
      <c r="C18" s="33" t="str">
        <f>IF($J$1="ENG","OTP Bank","ОТП Банк")</f>
        <v>ОТП Банк</v>
      </c>
      <c r="D18" s="3" t="str">
        <f t="shared" si="1"/>
        <v>Банки іноземних банківських груп</v>
      </c>
      <c r="E18" s="4">
        <v>7066.777</v>
      </c>
      <c r="F18" s="4">
        <v>8621.4670000000006</v>
      </c>
      <c r="G18" s="30">
        <v>0.25359999999999999</v>
      </c>
      <c r="H18" s="30">
        <v>0.2079</v>
      </c>
      <c r="I18" s="4">
        <v>33991.231361231359</v>
      </c>
      <c r="J18" s="120" t="str">
        <f t="shared" si="0"/>
        <v>ні</v>
      </c>
      <c r="K18" s="4">
        <v>7066.777</v>
      </c>
      <c r="L18" s="4">
        <v>8616.1139999999996</v>
      </c>
      <c r="M18" s="30">
        <v>0.2535</v>
      </c>
      <c r="N18" s="30">
        <v>0.2079</v>
      </c>
      <c r="O18" s="4">
        <v>33991.231361231359</v>
      </c>
      <c r="P18" s="4">
        <v>9371.2990000000009</v>
      </c>
      <c r="Q18" s="4">
        <v>11266.343999999999</v>
      </c>
      <c r="R18" s="4">
        <v>12887.083000000001</v>
      </c>
      <c r="S18" s="4">
        <v>9232.1560000000009</v>
      </c>
      <c r="T18" s="4">
        <v>11127.200999999999</v>
      </c>
      <c r="U18" s="4">
        <v>12747.94</v>
      </c>
      <c r="V18" s="30">
        <v>0.22559999999999999</v>
      </c>
      <c r="W18" s="30">
        <v>0.24590000000000001</v>
      </c>
      <c r="X18" s="30">
        <v>0.28220000000000001</v>
      </c>
      <c r="Y18" s="30">
        <v>0.22900000000000001</v>
      </c>
      <c r="Z18" s="30">
        <v>0.249</v>
      </c>
      <c r="AA18" s="30">
        <v>0.28520000000000001</v>
      </c>
      <c r="AB18" s="4">
        <v>40922.703056768558</v>
      </c>
      <c r="AC18" s="4">
        <v>45246.361445783128</v>
      </c>
      <c r="AD18" s="4">
        <v>45186.125525946707</v>
      </c>
      <c r="AE18" s="4">
        <v>7385.4120000000003</v>
      </c>
      <c r="AF18" s="4">
        <v>7703.875</v>
      </c>
      <c r="AG18" s="4">
        <v>8550.4009999999998</v>
      </c>
      <c r="AH18" s="4">
        <v>7246.2690000000002</v>
      </c>
      <c r="AI18" s="4">
        <v>7564.732</v>
      </c>
      <c r="AJ18" s="4">
        <v>8411.2579999999998</v>
      </c>
      <c r="AK18" s="62">
        <v>0.1762</v>
      </c>
      <c r="AL18" s="62">
        <v>0.1686</v>
      </c>
      <c r="AM18" s="62">
        <v>0.1845</v>
      </c>
      <c r="AN18" s="62">
        <v>0.17960000000000001</v>
      </c>
      <c r="AO18" s="62">
        <v>0.17169999999999999</v>
      </c>
      <c r="AP18" s="62">
        <v>0.18759999999999999</v>
      </c>
      <c r="AQ18" s="4">
        <v>41121.447661469931</v>
      </c>
      <c r="AR18" s="4">
        <v>44868.229470005826</v>
      </c>
      <c r="AS18" s="4">
        <v>45577.830490405118</v>
      </c>
      <c r="AT18" s="62">
        <v>0.1</v>
      </c>
      <c r="AU18" s="62">
        <v>7.0000000000000007E-2</v>
      </c>
      <c r="AV18" s="62">
        <v>0.1</v>
      </c>
      <c r="AW18" s="62">
        <v>7.0000000000000007E-2</v>
      </c>
      <c r="AX18" s="30">
        <v>0.1</v>
      </c>
      <c r="AY18" s="30">
        <v>7.0000000000000007E-2</v>
      </c>
      <c r="AZ18" s="62">
        <v>0.22670000000000001</v>
      </c>
      <c r="BA18" s="62">
        <v>0.15959999999999999</v>
      </c>
      <c r="BB18" s="46"/>
      <c r="BC18" s="46"/>
      <c r="BD18" s="32"/>
      <c r="BE18" s="46"/>
      <c r="BF18" s="46"/>
    </row>
    <row r="19" spans="1:58" s="81" customFormat="1" x14ac:dyDescent="0.25">
      <c r="A19" s="3">
        <v>10</v>
      </c>
      <c r="B19" s="3">
        <v>171</v>
      </c>
      <c r="C19" s="33" t="str">
        <f>IF($J$1="ENG","Credit Agricole Bank","Креді Агріколь Банк")</f>
        <v>Креді Агріколь Банк</v>
      </c>
      <c r="D19" s="3" t="str">
        <f t="shared" si="1"/>
        <v>Банки іноземних банківських груп</v>
      </c>
      <c r="E19" s="4">
        <v>3110.6089999999999</v>
      </c>
      <c r="F19" s="4">
        <v>6220.308</v>
      </c>
      <c r="G19" s="30">
        <v>0.17879999999999999</v>
      </c>
      <c r="H19" s="30">
        <v>8.9399999999999993E-2</v>
      </c>
      <c r="I19" s="4">
        <v>34794.284116331095</v>
      </c>
      <c r="J19" s="120" t="str">
        <f t="shared" si="0"/>
        <v>ні</v>
      </c>
      <c r="K19" s="4">
        <v>3110.6089999999999</v>
      </c>
      <c r="L19" s="4">
        <v>6220.308</v>
      </c>
      <c r="M19" s="30">
        <v>0.17879999999999999</v>
      </c>
      <c r="N19" s="30">
        <v>8.9399999999999993E-2</v>
      </c>
      <c r="O19" s="4">
        <v>34794.284116331095</v>
      </c>
      <c r="P19" s="4">
        <v>5903</v>
      </c>
      <c r="Q19" s="4">
        <v>7054.2340000000004</v>
      </c>
      <c r="R19" s="4">
        <v>7879.6490000000003</v>
      </c>
      <c r="S19" s="4">
        <v>6453.5749999999998</v>
      </c>
      <c r="T19" s="4">
        <v>7450.0870000000004</v>
      </c>
      <c r="U19" s="4">
        <v>8108.4229999999998</v>
      </c>
      <c r="V19" s="30">
        <v>0.1676</v>
      </c>
      <c r="W19" s="30">
        <v>0.1787</v>
      </c>
      <c r="X19" s="30">
        <v>0.19470000000000001</v>
      </c>
      <c r="Y19" s="30">
        <v>0.15329999999999999</v>
      </c>
      <c r="Z19" s="30">
        <v>0.16919999999999999</v>
      </c>
      <c r="AA19" s="30">
        <v>0.18920000000000001</v>
      </c>
      <c r="AB19" s="4">
        <v>38506.196999347689</v>
      </c>
      <c r="AC19" s="4">
        <v>41691.690307328608</v>
      </c>
      <c r="AD19" s="4">
        <v>41647.193446088793</v>
      </c>
      <c r="AE19" s="4">
        <v>4707.9380000000001</v>
      </c>
      <c r="AF19" s="4">
        <v>4437.8969999999999</v>
      </c>
      <c r="AG19" s="4">
        <v>4722.2389999999996</v>
      </c>
      <c r="AH19" s="4">
        <v>5352.9979999999996</v>
      </c>
      <c r="AI19" s="4">
        <v>4917.9949999999999</v>
      </c>
      <c r="AJ19" s="4">
        <v>5022.049</v>
      </c>
      <c r="AK19" s="62">
        <v>0.1336</v>
      </c>
      <c r="AL19" s="62">
        <v>0.11459999999999999</v>
      </c>
      <c r="AM19" s="62">
        <v>0.11509999999999999</v>
      </c>
      <c r="AN19" s="62">
        <v>0.11749999999999999</v>
      </c>
      <c r="AO19" s="62">
        <v>0.10340000000000001</v>
      </c>
      <c r="AP19" s="62">
        <v>0.1082</v>
      </c>
      <c r="AQ19" s="4">
        <v>40067.557446808511</v>
      </c>
      <c r="AR19" s="4">
        <v>42919.700193423596</v>
      </c>
      <c r="AS19" s="4">
        <v>43643.613678373375</v>
      </c>
      <c r="AT19" s="62">
        <v>0.1</v>
      </c>
      <c r="AU19" s="62">
        <v>7.0000000000000007E-2</v>
      </c>
      <c r="AV19" s="62">
        <v>0.1</v>
      </c>
      <c r="AW19" s="62">
        <v>7.0000000000000007E-2</v>
      </c>
      <c r="AX19" s="30">
        <v>0.1</v>
      </c>
      <c r="AY19" s="30">
        <v>7.0000000000000007E-2</v>
      </c>
      <c r="AZ19" s="62">
        <v>0.15359999999999999</v>
      </c>
      <c r="BA19" s="62">
        <v>8.8499999999999995E-2</v>
      </c>
      <c r="BB19" s="46"/>
      <c r="BC19" s="46"/>
      <c r="BD19" s="32"/>
      <c r="BE19" s="46"/>
      <c r="BF19" s="46"/>
    </row>
    <row r="20" spans="1:58" x14ac:dyDescent="0.25">
      <c r="A20" s="3">
        <v>11</v>
      </c>
      <c r="B20" s="3">
        <v>298</v>
      </c>
      <c r="C20" s="33" t="str">
        <f>IF($J$1="ENG","Procredit","Прокредит")</f>
        <v>Прокредит</v>
      </c>
      <c r="D20" s="3" t="str">
        <f t="shared" si="1"/>
        <v>Банки іноземних банківських груп</v>
      </c>
      <c r="E20" s="4">
        <v>3240.8150000000001</v>
      </c>
      <c r="F20" s="4">
        <v>3727.9029999999998</v>
      </c>
      <c r="G20" s="30">
        <v>0.17319999999999999</v>
      </c>
      <c r="H20" s="30">
        <v>0.15049999999999999</v>
      </c>
      <c r="I20" s="4">
        <v>21533.654485049836</v>
      </c>
      <c r="J20" s="120" t="str">
        <f t="shared" si="0"/>
        <v>ні</v>
      </c>
      <c r="K20" s="4">
        <v>3240.8150000000001</v>
      </c>
      <c r="L20" s="4">
        <v>3716.692</v>
      </c>
      <c r="M20" s="30">
        <v>0.17269999999999999</v>
      </c>
      <c r="N20" s="30">
        <v>0.15060000000000001</v>
      </c>
      <c r="O20" s="4">
        <v>21519.355909694554</v>
      </c>
      <c r="P20" s="4">
        <v>3719.61</v>
      </c>
      <c r="Q20" s="4">
        <v>4404.2259999999997</v>
      </c>
      <c r="R20" s="4">
        <v>4863.7979999999998</v>
      </c>
      <c r="S20" s="4">
        <v>3719.61</v>
      </c>
      <c r="T20" s="4">
        <v>4404.2259999999997</v>
      </c>
      <c r="U20" s="4">
        <v>4863.7979999999998</v>
      </c>
      <c r="V20" s="30">
        <v>0.16539999999999999</v>
      </c>
      <c r="W20" s="30">
        <v>0.185</v>
      </c>
      <c r="X20" s="30">
        <v>0.20480000000000001</v>
      </c>
      <c r="Y20" s="30">
        <v>0.16539999999999999</v>
      </c>
      <c r="Z20" s="30">
        <v>0.185</v>
      </c>
      <c r="AA20" s="30">
        <v>0.20480000000000001</v>
      </c>
      <c r="AB20" s="4">
        <v>22488.57315598549</v>
      </c>
      <c r="AC20" s="4">
        <v>23806.627027027025</v>
      </c>
      <c r="AD20" s="4">
        <v>23749.013671874996</v>
      </c>
      <c r="AE20" s="4">
        <v>2995.5509999999999</v>
      </c>
      <c r="AF20" s="4">
        <v>2533.5070000000001</v>
      </c>
      <c r="AG20" s="4">
        <v>2733.4380000000001</v>
      </c>
      <c r="AH20" s="4">
        <v>2995.5509999999999</v>
      </c>
      <c r="AI20" s="4">
        <v>2533.5070000000001</v>
      </c>
      <c r="AJ20" s="4">
        <v>2733.4380000000001</v>
      </c>
      <c r="AK20" s="62">
        <v>0.12590000000000001</v>
      </c>
      <c r="AL20" s="62">
        <v>0.1028</v>
      </c>
      <c r="AM20" s="62">
        <v>0.1084</v>
      </c>
      <c r="AN20" s="62">
        <v>0.12590000000000001</v>
      </c>
      <c r="AO20" s="62">
        <v>0.1028</v>
      </c>
      <c r="AP20" s="62">
        <v>0.1084</v>
      </c>
      <c r="AQ20" s="4">
        <v>23793.097696584588</v>
      </c>
      <c r="AR20" s="4">
        <v>24645.009727626461</v>
      </c>
      <c r="AS20" s="4">
        <v>25216.217712177124</v>
      </c>
      <c r="AT20" s="62">
        <v>0.1</v>
      </c>
      <c r="AU20" s="62">
        <v>7.0000000000000007E-2</v>
      </c>
      <c r="AV20" s="62">
        <v>0.1</v>
      </c>
      <c r="AW20" s="62">
        <v>7.0000000000000007E-2</v>
      </c>
      <c r="AX20" s="30">
        <v>0.1</v>
      </c>
      <c r="AY20" s="30">
        <v>7.0000000000000007E-2</v>
      </c>
      <c r="AZ20" s="62">
        <v>0.15590000000000001</v>
      </c>
      <c r="BA20" s="62">
        <v>0.13320000000000001</v>
      </c>
      <c r="BB20" s="46"/>
      <c r="BC20" s="46"/>
      <c r="BD20" s="32"/>
      <c r="BE20" s="46"/>
      <c r="BF20" s="46"/>
    </row>
    <row r="21" spans="1:58" x14ac:dyDescent="0.25">
      <c r="A21" s="3">
        <v>12</v>
      </c>
      <c r="B21" s="3">
        <v>88</v>
      </c>
      <c r="C21" s="33" t="str">
        <f>IF($J$1="ENG","Kredobank","Кредобанк")</f>
        <v>Кредобанк</v>
      </c>
      <c r="D21" s="3" t="str">
        <f t="shared" si="1"/>
        <v>Банки іноземних банківських груп</v>
      </c>
      <c r="E21" s="4">
        <v>2045.412</v>
      </c>
      <c r="F21" s="4">
        <v>2151.3200000000002</v>
      </c>
      <c r="G21" s="30">
        <v>0.1535</v>
      </c>
      <c r="H21" s="30">
        <v>0.14599999999999999</v>
      </c>
      <c r="I21" s="4">
        <v>14009.671232876713</v>
      </c>
      <c r="J21" s="120" t="str">
        <f t="shared" si="0"/>
        <v>ні</v>
      </c>
      <c r="K21" s="4">
        <v>2045.412</v>
      </c>
      <c r="L21" s="4">
        <v>2151.3200000000002</v>
      </c>
      <c r="M21" s="30">
        <v>0.1535</v>
      </c>
      <c r="N21" s="30">
        <v>0.14599999999999999</v>
      </c>
      <c r="O21" s="4">
        <v>14009.671232876713</v>
      </c>
      <c r="P21" s="4">
        <v>2508.6790000000001</v>
      </c>
      <c r="Q21" s="4">
        <v>2938.6149999999998</v>
      </c>
      <c r="R21" s="4">
        <v>3223.1729999999998</v>
      </c>
      <c r="S21" s="4">
        <v>2614.587</v>
      </c>
      <c r="T21" s="4">
        <v>3044.5230000000001</v>
      </c>
      <c r="U21" s="4">
        <v>3329.08</v>
      </c>
      <c r="V21" s="30">
        <v>0.1593</v>
      </c>
      <c r="W21" s="30">
        <v>0.16700000000000001</v>
      </c>
      <c r="X21" s="30">
        <v>0.18290000000000001</v>
      </c>
      <c r="Y21" s="30">
        <v>0.15279999999999999</v>
      </c>
      <c r="Z21" s="30">
        <v>0.16120000000000001</v>
      </c>
      <c r="AA21" s="30">
        <v>0.17699999999999999</v>
      </c>
      <c r="AB21" s="4">
        <v>16418.056282722515</v>
      </c>
      <c r="AC21" s="4">
        <v>18229.621588089329</v>
      </c>
      <c r="AD21" s="4">
        <v>18210.016949152541</v>
      </c>
      <c r="AE21" s="4">
        <v>970.476</v>
      </c>
      <c r="AF21" s="4">
        <v>864.86300000000006</v>
      </c>
      <c r="AG21" s="4">
        <v>1055.8800000000001</v>
      </c>
      <c r="AH21" s="4">
        <v>1076.383</v>
      </c>
      <c r="AI21" s="4">
        <v>970.77099999999996</v>
      </c>
      <c r="AJ21" s="4">
        <v>1161.788</v>
      </c>
      <c r="AK21" s="62">
        <v>6.4899999999999999E-2</v>
      </c>
      <c r="AL21" s="62">
        <v>5.3699999999999998E-2</v>
      </c>
      <c r="AM21" s="62">
        <v>6.3500000000000001E-2</v>
      </c>
      <c r="AN21" s="62">
        <v>5.8599999999999999E-2</v>
      </c>
      <c r="AO21" s="62">
        <v>4.7899999999999998E-2</v>
      </c>
      <c r="AP21" s="62">
        <v>5.7700000000000001E-2</v>
      </c>
      <c r="AQ21" s="4">
        <v>16561.023890784982</v>
      </c>
      <c r="AR21" s="4">
        <v>18055.594989561589</v>
      </c>
      <c r="AS21" s="4">
        <v>18299.48006932409</v>
      </c>
      <c r="AT21" s="62">
        <v>0.1</v>
      </c>
      <c r="AU21" s="62">
        <v>7.0000000000000007E-2</v>
      </c>
      <c r="AV21" s="62">
        <v>0.11899999999999999</v>
      </c>
      <c r="AW21" s="62">
        <v>0.11899999999999999</v>
      </c>
      <c r="AX21" s="30">
        <v>0.1</v>
      </c>
      <c r="AY21" s="30">
        <v>7.0000000000000007E-2</v>
      </c>
      <c r="AZ21" s="62">
        <v>0.1394</v>
      </c>
      <c r="BA21" s="62">
        <v>0.13439999999999999</v>
      </c>
      <c r="BB21" s="46"/>
      <c r="BC21" s="46"/>
      <c r="BD21" s="32"/>
      <c r="BE21" s="46"/>
      <c r="BF21" s="46"/>
    </row>
    <row r="22" spans="1:58" x14ac:dyDescent="0.25">
      <c r="A22" s="3">
        <v>13</v>
      </c>
      <c r="B22" s="3">
        <v>142</v>
      </c>
      <c r="C22" s="33" t="str">
        <f>IF($J$1="ENG","Idea Bank","Ідея Банк")</f>
        <v>Ідея Банк</v>
      </c>
      <c r="D22" s="3" t="str">
        <f t="shared" si="1"/>
        <v>Банки іноземних банківських груп</v>
      </c>
      <c r="E22" s="4">
        <v>472.23899999999998</v>
      </c>
      <c r="F22" s="4">
        <v>891.15099999999995</v>
      </c>
      <c r="G22" s="30">
        <v>0.21060000000000001</v>
      </c>
      <c r="H22" s="30">
        <v>0.1116</v>
      </c>
      <c r="I22" s="4">
        <v>4231.5322580645161</v>
      </c>
      <c r="J22" s="120" t="str">
        <f t="shared" si="0"/>
        <v>ні</v>
      </c>
      <c r="K22" s="4">
        <v>472.23899999999998</v>
      </c>
      <c r="L22" s="4">
        <v>891.15099999999995</v>
      </c>
      <c r="M22" s="30">
        <v>0.21060000000000001</v>
      </c>
      <c r="N22" s="30">
        <v>0.1116</v>
      </c>
      <c r="O22" s="4">
        <v>4231.5322580645161</v>
      </c>
      <c r="P22" s="4">
        <v>1149.6500000000001</v>
      </c>
      <c r="Q22" s="4">
        <v>1667.9480000000001</v>
      </c>
      <c r="R22" s="4">
        <v>2147.6080000000002</v>
      </c>
      <c r="S22" s="4">
        <v>1193.8240000000001</v>
      </c>
      <c r="T22" s="4">
        <v>1695.549</v>
      </c>
      <c r="U22" s="4">
        <v>2175.2089999999998</v>
      </c>
      <c r="V22" s="30">
        <v>0.16489999999999999</v>
      </c>
      <c r="W22" s="30">
        <v>0.19789999999999999</v>
      </c>
      <c r="X22" s="30">
        <v>0.25480000000000003</v>
      </c>
      <c r="Y22" s="30">
        <v>0.1588</v>
      </c>
      <c r="Z22" s="30">
        <v>0.19470000000000001</v>
      </c>
      <c r="AA22" s="30">
        <v>0.25159999999999999</v>
      </c>
      <c r="AB22" s="4">
        <v>7239.6095717884136</v>
      </c>
      <c r="AC22" s="4">
        <v>8566.7591165896247</v>
      </c>
      <c r="AD22" s="4">
        <v>8535.8028616852152</v>
      </c>
      <c r="AE22" s="4">
        <v>995.25599999999997</v>
      </c>
      <c r="AF22" s="4">
        <v>1303.3620000000001</v>
      </c>
      <c r="AG22" s="4">
        <v>1782.402</v>
      </c>
      <c r="AH22" s="4">
        <v>1042.269</v>
      </c>
      <c r="AI22" s="4">
        <v>1330.963</v>
      </c>
      <c r="AJ22" s="4">
        <v>1810.0029999999999</v>
      </c>
      <c r="AK22" s="62">
        <v>0.14810000000000001</v>
      </c>
      <c r="AL22" s="62">
        <v>0.1646</v>
      </c>
      <c r="AM22" s="62">
        <v>0.22539999999999999</v>
      </c>
      <c r="AN22" s="62">
        <v>0.14149999999999999</v>
      </c>
      <c r="AO22" s="62">
        <v>0.16120000000000001</v>
      </c>
      <c r="AP22" s="62">
        <v>0.222</v>
      </c>
      <c r="AQ22" s="4">
        <v>7033.611307420495</v>
      </c>
      <c r="AR22" s="4">
        <v>8085.3722084367246</v>
      </c>
      <c r="AS22" s="4">
        <v>8028.8378378378384</v>
      </c>
      <c r="AT22" s="62">
        <v>0.1</v>
      </c>
      <c r="AU22" s="62">
        <v>7.0000000000000007E-2</v>
      </c>
      <c r="AV22" s="62">
        <v>0.1</v>
      </c>
      <c r="AW22" s="118">
        <v>7.0000000000000007E-2</v>
      </c>
      <c r="AX22" s="119">
        <v>0.1</v>
      </c>
      <c r="AY22" s="119">
        <v>7.0000000000000007E-2</v>
      </c>
      <c r="AZ22" s="118">
        <v>0.20799999999999999</v>
      </c>
      <c r="BA22" s="62">
        <v>0.1207</v>
      </c>
      <c r="BB22" s="46"/>
      <c r="BC22" s="46"/>
      <c r="BD22" s="32"/>
      <c r="BE22" s="46"/>
      <c r="BF22" s="46"/>
    </row>
    <row r="23" spans="1:58" x14ac:dyDescent="0.25">
      <c r="A23" s="3">
        <v>14</v>
      </c>
      <c r="B23" s="3">
        <v>153</v>
      </c>
      <c r="C23" s="110" t="str">
        <f>IF($J$1="ENG","Pravex","Правекс")</f>
        <v>Правекс</v>
      </c>
      <c r="D23" s="3" t="str">
        <f t="shared" si="1"/>
        <v>Банки іноземних банківських груп</v>
      </c>
      <c r="E23" s="4">
        <v>1295.915</v>
      </c>
      <c r="F23" s="4">
        <v>1354.433</v>
      </c>
      <c r="G23" s="30">
        <v>0.35720000000000002</v>
      </c>
      <c r="H23" s="30">
        <v>0.3417</v>
      </c>
      <c r="I23" s="4">
        <v>3792.5519461515946</v>
      </c>
      <c r="J23" s="120" t="str">
        <f t="shared" si="0"/>
        <v>ні</v>
      </c>
      <c r="K23" s="48">
        <v>1297.0619999999999</v>
      </c>
      <c r="L23" s="48">
        <v>1355.58</v>
      </c>
      <c r="M23" s="30">
        <v>0.35720000000000002</v>
      </c>
      <c r="N23" s="30">
        <v>0.3417</v>
      </c>
      <c r="O23" s="4">
        <v>3795.9086918349426</v>
      </c>
      <c r="P23" s="4">
        <v>1140.221</v>
      </c>
      <c r="Q23" s="4">
        <v>975.67499999999995</v>
      </c>
      <c r="R23" s="4">
        <v>754.83699999999999</v>
      </c>
      <c r="S23" s="4">
        <v>1198.74</v>
      </c>
      <c r="T23" s="4">
        <v>1034.193</v>
      </c>
      <c r="U23" s="4">
        <v>813.35500000000002</v>
      </c>
      <c r="V23" s="30">
        <v>0.27100000000000002</v>
      </c>
      <c r="W23" s="30">
        <v>0.21190000000000001</v>
      </c>
      <c r="X23" s="30">
        <v>0.16700000000000001</v>
      </c>
      <c r="Y23" s="30">
        <v>0.25779999999999997</v>
      </c>
      <c r="Z23" s="30">
        <v>0.19989999999999999</v>
      </c>
      <c r="AA23" s="30">
        <v>0.155</v>
      </c>
      <c r="AB23" s="4">
        <v>4422.8898370830102</v>
      </c>
      <c r="AC23" s="4">
        <v>4880.8154077038516</v>
      </c>
      <c r="AD23" s="4">
        <v>4869.9161290322581</v>
      </c>
      <c r="AE23" s="4">
        <v>831.346</v>
      </c>
      <c r="AF23" s="4">
        <v>553.19200000000001</v>
      </c>
      <c r="AG23" s="4">
        <v>324.91300000000001</v>
      </c>
      <c r="AH23" s="4">
        <v>889.86500000000001</v>
      </c>
      <c r="AI23" s="4">
        <v>611.71100000000001</v>
      </c>
      <c r="AJ23" s="4">
        <v>383.43099999999998</v>
      </c>
      <c r="AK23" s="62">
        <v>0.19439999999999999</v>
      </c>
      <c r="AL23" s="62">
        <v>0.1207</v>
      </c>
      <c r="AM23" s="62">
        <v>7.3599999999999999E-2</v>
      </c>
      <c r="AN23" s="62">
        <v>0.18160000000000001</v>
      </c>
      <c r="AO23" s="62">
        <v>0.10920000000000001</v>
      </c>
      <c r="AP23" s="62">
        <v>6.2399999999999997E-2</v>
      </c>
      <c r="AQ23" s="4">
        <v>4577.8964757709246</v>
      </c>
      <c r="AR23" s="4">
        <v>5065.8608058608061</v>
      </c>
      <c r="AS23" s="4">
        <v>5206.9391025641025</v>
      </c>
      <c r="AT23" s="62">
        <v>0.21299999999999999</v>
      </c>
      <c r="AU23" s="62">
        <v>0.21299999999999999</v>
      </c>
      <c r="AV23" s="62">
        <v>0.29099999999999998</v>
      </c>
      <c r="AW23" s="118">
        <v>0.29099999999999998</v>
      </c>
      <c r="AX23" s="119">
        <v>0.29099999999999998</v>
      </c>
      <c r="AY23" s="119">
        <v>0.29099999999999998</v>
      </c>
      <c r="AZ23" s="118">
        <v>0.26419999999999999</v>
      </c>
      <c r="BA23" s="62">
        <v>0.25190000000000001</v>
      </c>
      <c r="BB23" s="46"/>
      <c r="BC23" s="46"/>
      <c r="BD23" s="32"/>
      <c r="BE23" s="46"/>
      <c r="BF23" s="46"/>
    </row>
    <row r="24" spans="1:58" x14ac:dyDescent="0.25">
      <c r="A24" s="3">
        <v>15</v>
      </c>
      <c r="B24" s="3">
        <v>325</v>
      </c>
      <c r="C24" s="33" t="str">
        <f>IF($J$1="ENG","Forward","Форвард")</f>
        <v>Форвард</v>
      </c>
      <c r="D24" s="3" t="str">
        <f t="shared" si="1"/>
        <v>Банки іноземних банківських груп</v>
      </c>
      <c r="E24" s="4">
        <v>248.00399999999999</v>
      </c>
      <c r="F24" s="4">
        <v>248.00399999999999</v>
      </c>
      <c r="G24" s="30">
        <v>0.1221</v>
      </c>
      <c r="H24" s="30">
        <v>0.1221</v>
      </c>
      <c r="I24" s="4">
        <v>2031.1547911547912</v>
      </c>
      <c r="J24" s="120" t="str">
        <f t="shared" si="0"/>
        <v>ні</v>
      </c>
      <c r="K24" s="4">
        <v>229.42599999999999</v>
      </c>
      <c r="L24" s="4">
        <v>229.42599999999999</v>
      </c>
      <c r="M24" s="30">
        <v>0.114</v>
      </c>
      <c r="N24" s="30">
        <v>0.114</v>
      </c>
      <c r="O24" s="4">
        <v>2012.5087719298244</v>
      </c>
      <c r="P24" s="4">
        <v>222.28200000000001</v>
      </c>
      <c r="Q24" s="4">
        <v>220.78200000000001</v>
      </c>
      <c r="R24" s="4">
        <v>194.346</v>
      </c>
      <c r="S24" s="4">
        <v>222.28200000000001</v>
      </c>
      <c r="T24" s="4">
        <v>220.78200000000001</v>
      </c>
      <c r="U24" s="4">
        <v>194.346</v>
      </c>
      <c r="V24" s="30">
        <v>7.4300000000000005E-2</v>
      </c>
      <c r="W24" s="30">
        <v>6.59E-2</v>
      </c>
      <c r="X24" s="30">
        <v>5.8200000000000002E-2</v>
      </c>
      <c r="Y24" s="30">
        <v>7.4300000000000005E-2</v>
      </c>
      <c r="Z24" s="30">
        <v>6.59E-2</v>
      </c>
      <c r="AA24" s="30">
        <v>5.8200000000000002E-2</v>
      </c>
      <c r="AB24" s="4">
        <v>2991.6823687752353</v>
      </c>
      <c r="AC24" s="4">
        <v>3350.257966616085</v>
      </c>
      <c r="AD24" s="4">
        <v>3339.2783505154639</v>
      </c>
      <c r="AE24" s="4">
        <v>126.964</v>
      </c>
      <c r="AF24" s="4">
        <v>-1.105</v>
      </c>
      <c r="AG24" s="4">
        <v>-57.915999999999997</v>
      </c>
      <c r="AH24" s="4">
        <v>126.964</v>
      </c>
      <c r="AI24" s="4">
        <v>-1.105</v>
      </c>
      <c r="AJ24" s="4">
        <v>-57.915999999999997</v>
      </c>
      <c r="AK24" s="62">
        <v>4.3099999999999999E-2</v>
      </c>
      <c r="AL24" s="62">
        <v>-2.9999999999999997E-4</v>
      </c>
      <c r="AM24" s="62">
        <v>-1.7999999999999999E-2</v>
      </c>
      <c r="AN24" s="62">
        <v>4.3099999999999999E-2</v>
      </c>
      <c r="AO24" s="62">
        <v>-2.9999999999999997E-4</v>
      </c>
      <c r="AP24" s="62">
        <v>-1.7999999999999999E-2</v>
      </c>
      <c r="AQ24" s="4">
        <v>2945.8004640371228</v>
      </c>
      <c r="AR24" s="4">
        <v>3683.3333333333335</v>
      </c>
      <c r="AS24" s="4">
        <v>3217.5555555555557</v>
      </c>
      <c r="AT24" s="62">
        <v>0.11700000000000001</v>
      </c>
      <c r="AU24" s="62">
        <v>8.6999999999999994E-2</v>
      </c>
      <c r="AV24" s="62">
        <v>0.193</v>
      </c>
      <c r="AW24" s="118">
        <v>0.17799999999999999</v>
      </c>
      <c r="AX24" s="119">
        <v>0.193</v>
      </c>
      <c r="AY24" s="119">
        <v>0.17799999999999999</v>
      </c>
      <c r="AZ24" s="118">
        <v>0.1183</v>
      </c>
      <c r="BA24" s="62">
        <v>0.1183</v>
      </c>
      <c r="BB24" s="46"/>
      <c r="BC24" s="46"/>
      <c r="BD24" s="32"/>
      <c r="BE24" s="46"/>
      <c r="BF24" s="46"/>
    </row>
    <row r="25" spans="1:58" x14ac:dyDescent="0.25">
      <c r="A25" s="3">
        <v>16</v>
      </c>
      <c r="B25" s="3">
        <v>115</v>
      </c>
      <c r="C25" s="33" t="str">
        <f>IF($J$1="ENG","FUIB","ПУМБ")</f>
        <v>ПУМБ</v>
      </c>
      <c r="D25" s="3" t="str">
        <f t="shared" ref="D25:D32" si="2">IF($J$1="ENG","Private banks","Банки з приватним капіталом")</f>
        <v>Банки з приватним капіталом</v>
      </c>
      <c r="E25" s="4">
        <v>6223.7830000000004</v>
      </c>
      <c r="F25" s="4">
        <v>8346.7180000000008</v>
      </c>
      <c r="G25" s="30">
        <v>0.17879999999999999</v>
      </c>
      <c r="H25" s="30">
        <v>0.1333</v>
      </c>
      <c r="I25" s="4">
        <v>46690.045011252812</v>
      </c>
      <c r="J25" s="120" t="str">
        <f t="shared" si="0"/>
        <v>ні</v>
      </c>
      <c r="K25" s="4">
        <v>6223.7830000000004</v>
      </c>
      <c r="L25" s="4">
        <v>8214.8189999999995</v>
      </c>
      <c r="M25" s="30">
        <v>0.17649999999999999</v>
      </c>
      <c r="N25" s="30">
        <v>0.13370000000000001</v>
      </c>
      <c r="O25" s="4">
        <v>46550.359012715031</v>
      </c>
      <c r="P25" s="4">
        <v>9560.5630000000001</v>
      </c>
      <c r="Q25" s="4">
        <v>12684.795</v>
      </c>
      <c r="R25" s="4">
        <v>15184.441999999999</v>
      </c>
      <c r="S25" s="4">
        <v>9865.884</v>
      </c>
      <c r="T25" s="4">
        <v>12990.115</v>
      </c>
      <c r="U25" s="4">
        <v>15489.762000000001</v>
      </c>
      <c r="V25" s="30">
        <v>0.1671</v>
      </c>
      <c r="W25" s="30">
        <v>0.19869999999999999</v>
      </c>
      <c r="X25" s="30">
        <v>0.23719999999999999</v>
      </c>
      <c r="Y25" s="30">
        <v>0.16189999999999999</v>
      </c>
      <c r="Z25" s="30">
        <v>0.19400000000000001</v>
      </c>
      <c r="AA25" s="30">
        <v>0.2326</v>
      </c>
      <c r="AB25" s="4">
        <v>59052.273008029653</v>
      </c>
      <c r="AC25" s="4">
        <v>65385.541237113401</v>
      </c>
      <c r="AD25" s="4">
        <v>65281.349957007733</v>
      </c>
      <c r="AE25" s="4">
        <v>6097.7569999999996</v>
      </c>
      <c r="AF25" s="4">
        <v>6873.268</v>
      </c>
      <c r="AG25" s="4">
        <v>8736.1290000000008</v>
      </c>
      <c r="AH25" s="4">
        <v>6403.0770000000002</v>
      </c>
      <c r="AI25" s="4">
        <v>7178.5889999999999</v>
      </c>
      <c r="AJ25" s="4">
        <v>9041.4490000000005</v>
      </c>
      <c r="AK25" s="62">
        <v>0.1061</v>
      </c>
      <c r="AL25" s="62">
        <v>0.10970000000000001</v>
      </c>
      <c r="AM25" s="62">
        <v>0.13589999999999999</v>
      </c>
      <c r="AN25" s="62">
        <v>0.10100000000000001</v>
      </c>
      <c r="AO25" s="62">
        <v>0.1051</v>
      </c>
      <c r="AP25" s="62">
        <v>0.1313</v>
      </c>
      <c r="AQ25" s="4">
        <v>60373.831683168311</v>
      </c>
      <c r="AR25" s="4">
        <v>65397.411988582302</v>
      </c>
      <c r="AS25" s="4">
        <v>66535.635948210213</v>
      </c>
      <c r="AT25" s="62">
        <v>0.1</v>
      </c>
      <c r="AU25" s="62">
        <v>7.0000000000000007E-2</v>
      </c>
      <c r="AV25" s="62">
        <v>0.1</v>
      </c>
      <c r="AW25" s="118">
        <v>7.0000000000000007E-2</v>
      </c>
      <c r="AX25" s="119">
        <v>0.1</v>
      </c>
      <c r="AY25" s="119">
        <v>7.0000000000000007E-2</v>
      </c>
      <c r="AZ25" s="118">
        <v>0.16439999999999999</v>
      </c>
      <c r="BA25" s="62">
        <v>0.1116</v>
      </c>
      <c r="BB25" s="46"/>
      <c r="BC25" s="46"/>
      <c r="BD25" s="32"/>
      <c r="BE25" s="46"/>
      <c r="BF25" s="46"/>
    </row>
    <row r="26" spans="1:58" x14ac:dyDescent="0.25">
      <c r="A26" s="3">
        <v>17</v>
      </c>
      <c r="B26" s="3">
        <v>106</v>
      </c>
      <c r="C26" s="33" t="str">
        <f>IF($J$1="ENG","Pivdennyi","Південний")</f>
        <v>Південний</v>
      </c>
      <c r="D26" s="3" t="str">
        <f t="shared" si="2"/>
        <v>Банки з приватним капіталом</v>
      </c>
      <c r="E26" s="4">
        <v>2263.0070000000001</v>
      </c>
      <c r="F26" s="4">
        <v>2857.3470000000002</v>
      </c>
      <c r="G26" s="30">
        <v>0.14269999999999999</v>
      </c>
      <c r="H26" s="30">
        <v>0.11310000000000001</v>
      </c>
      <c r="I26" s="4">
        <v>20008.903625110521</v>
      </c>
      <c r="J26" s="120" t="str">
        <f t="shared" si="0"/>
        <v>ні</v>
      </c>
      <c r="K26" s="4">
        <v>2263.0070000000001</v>
      </c>
      <c r="L26" s="4">
        <v>2857.261</v>
      </c>
      <c r="M26" s="30">
        <v>0.14269999999999999</v>
      </c>
      <c r="N26" s="30">
        <v>0.11310000000000001</v>
      </c>
      <c r="O26" s="4">
        <v>20008.903625110521</v>
      </c>
      <c r="P26" s="4">
        <v>3061.2570000000001</v>
      </c>
      <c r="Q26" s="4">
        <v>3512.694</v>
      </c>
      <c r="R26" s="4">
        <v>3650.8029999999999</v>
      </c>
      <c r="S26" s="4">
        <v>3117.4209999999998</v>
      </c>
      <c r="T26" s="4">
        <v>3562.2890000000002</v>
      </c>
      <c r="U26" s="4">
        <v>3693.3719999999998</v>
      </c>
      <c r="V26" s="30">
        <v>0.14349999999999999</v>
      </c>
      <c r="W26" s="30">
        <v>0.14949999999999999</v>
      </c>
      <c r="X26" s="30">
        <v>0.15659999999999999</v>
      </c>
      <c r="Y26" s="30">
        <v>0.1409</v>
      </c>
      <c r="Z26" s="30">
        <v>0.1474</v>
      </c>
      <c r="AA26" s="30">
        <v>0.15479999999999999</v>
      </c>
      <c r="AB26" s="4">
        <v>21726.451383960255</v>
      </c>
      <c r="AC26" s="4">
        <v>23831.031207598371</v>
      </c>
      <c r="AD26" s="4">
        <v>23583.998708010335</v>
      </c>
      <c r="AE26" s="4">
        <v>1642.336</v>
      </c>
      <c r="AF26" s="4">
        <v>985.54200000000003</v>
      </c>
      <c r="AG26" s="4">
        <v>615.89599999999996</v>
      </c>
      <c r="AH26" s="4">
        <v>1702.0260000000001</v>
      </c>
      <c r="AI26" s="4">
        <v>1038.1099999999999</v>
      </c>
      <c r="AJ26" s="4">
        <v>660.62300000000005</v>
      </c>
      <c r="AK26" s="62">
        <v>7.2700000000000001E-2</v>
      </c>
      <c r="AL26" s="62">
        <v>4.0800000000000003E-2</v>
      </c>
      <c r="AM26" s="62">
        <v>2.5399999999999999E-2</v>
      </c>
      <c r="AN26" s="62">
        <v>7.0099999999999996E-2</v>
      </c>
      <c r="AO26" s="62">
        <v>3.8800000000000001E-2</v>
      </c>
      <c r="AP26" s="62">
        <v>2.3699999999999999E-2</v>
      </c>
      <c r="AQ26" s="4">
        <v>23428.473609129815</v>
      </c>
      <c r="AR26" s="4">
        <v>25400.567010309278</v>
      </c>
      <c r="AS26" s="4">
        <v>25987.172995780591</v>
      </c>
      <c r="AT26" s="62">
        <v>0.1</v>
      </c>
      <c r="AU26" s="62">
        <v>7.0000000000000007E-2</v>
      </c>
      <c r="AV26" s="62">
        <v>0.158</v>
      </c>
      <c r="AW26" s="118">
        <v>0.14299999999999999</v>
      </c>
      <c r="AX26" s="119">
        <v>0.11</v>
      </c>
      <c r="AY26" s="119">
        <v>9.5000000000000001E-2</v>
      </c>
      <c r="AZ26" s="118">
        <v>0.15310000000000001</v>
      </c>
      <c r="BA26" s="62">
        <v>0.1069</v>
      </c>
      <c r="BB26" s="46"/>
      <c r="BC26" s="46"/>
      <c r="BD26" s="32"/>
      <c r="BE26" s="46"/>
      <c r="BF26" s="46"/>
    </row>
    <row r="27" spans="1:58" x14ac:dyDescent="0.25">
      <c r="A27" s="3">
        <v>18</v>
      </c>
      <c r="B27" s="3">
        <v>62</v>
      </c>
      <c r="C27" s="33" t="str">
        <f>IF($J$1="ENG","Taskombank","Таскомбанк")</f>
        <v>Таскомбанк</v>
      </c>
      <c r="D27" s="3" t="str">
        <f t="shared" si="2"/>
        <v>Банки з приватним капіталом</v>
      </c>
      <c r="E27" s="4">
        <v>1798.174</v>
      </c>
      <c r="F27" s="4">
        <v>2619.2979999999998</v>
      </c>
      <c r="G27" s="30">
        <v>0.1832</v>
      </c>
      <c r="H27" s="30">
        <v>0.1258</v>
      </c>
      <c r="I27" s="4">
        <v>14293.910969793324</v>
      </c>
      <c r="J27" s="120" t="str">
        <f t="shared" si="0"/>
        <v>ні</v>
      </c>
      <c r="K27" s="4">
        <v>1798.174</v>
      </c>
      <c r="L27" s="4">
        <v>2619.3119999999999</v>
      </c>
      <c r="M27" s="30">
        <v>0.1832</v>
      </c>
      <c r="N27" s="30">
        <v>0.1258</v>
      </c>
      <c r="O27" s="4">
        <v>14293.910969793324</v>
      </c>
      <c r="P27" s="4">
        <v>2304.8539999999998</v>
      </c>
      <c r="Q27" s="4">
        <v>2521.4520000000002</v>
      </c>
      <c r="R27" s="4">
        <v>2399.1909999999998</v>
      </c>
      <c r="S27" s="4">
        <v>2317.34</v>
      </c>
      <c r="T27" s="4">
        <v>2533.9369999999999</v>
      </c>
      <c r="U27" s="4">
        <v>2411.6770000000001</v>
      </c>
      <c r="V27" s="30">
        <v>0.14169999999999999</v>
      </c>
      <c r="W27" s="30">
        <v>0.1401</v>
      </c>
      <c r="X27" s="30">
        <v>0.1351</v>
      </c>
      <c r="Y27" s="30">
        <v>0.14099999999999999</v>
      </c>
      <c r="Z27" s="30">
        <v>0.1394</v>
      </c>
      <c r="AA27" s="30">
        <v>0.13439999999999999</v>
      </c>
      <c r="AB27" s="4">
        <v>16346.482269503545</v>
      </c>
      <c r="AC27" s="4">
        <v>18087.890961262558</v>
      </c>
      <c r="AD27" s="4">
        <v>17851.123511904763</v>
      </c>
      <c r="AE27" s="4">
        <v>945.19899999999996</v>
      </c>
      <c r="AF27" s="4">
        <v>397.87099999999998</v>
      </c>
      <c r="AG27" s="4">
        <v>-20.934999999999999</v>
      </c>
      <c r="AH27" s="4">
        <v>957.68399999999997</v>
      </c>
      <c r="AI27" s="4">
        <v>410.35700000000003</v>
      </c>
      <c r="AJ27" s="4">
        <v>-20.934999999999999</v>
      </c>
      <c r="AK27" s="62">
        <v>5.7599999999999998E-2</v>
      </c>
      <c r="AL27" s="62">
        <v>2.2499999999999999E-2</v>
      </c>
      <c r="AM27" s="62">
        <v>-1.1000000000000001E-3</v>
      </c>
      <c r="AN27" s="62">
        <v>5.6899999999999999E-2</v>
      </c>
      <c r="AO27" s="62">
        <v>2.18E-2</v>
      </c>
      <c r="AP27" s="62">
        <v>-1.1000000000000001E-3</v>
      </c>
      <c r="AQ27" s="4">
        <v>16611.581722319857</v>
      </c>
      <c r="AR27" s="4">
        <v>18250.963302752294</v>
      </c>
      <c r="AS27" s="4">
        <v>19031.81818181818</v>
      </c>
      <c r="AT27" s="62">
        <v>0.1</v>
      </c>
      <c r="AU27" s="62">
        <v>7.0000000000000007E-2</v>
      </c>
      <c r="AV27" s="62">
        <v>0.21299999999999999</v>
      </c>
      <c r="AW27" s="118">
        <v>0.19800000000000001</v>
      </c>
      <c r="AX27" s="119">
        <v>0.1</v>
      </c>
      <c r="AY27" s="119">
        <v>7.0000000000000007E-2</v>
      </c>
      <c r="AZ27" s="118">
        <v>0.1696</v>
      </c>
      <c r="BA27" s="62">
        <v>0.1263</v>
      </c>
      <c r="BB27" s="46"/>
      <c r="BC27" s="46"/>
      <c r="BD27" s="32"/>
      <c r="BE27" s="46"/>
      <c r="BF27" s="46"/>
    </row>
    <row r="28" spans="1:58" x14ac:dyDescent="0.25">
      <c r="A28" s="3">
        <v>19</v>
      </c>
      <c r="B28" s="3">
        <v>242</v>
      </c>
      <c r="C28" s="33" t="str">
        <f>IF($J$1="ENG","Universal","Універсал")</f>
        <v>Універсал</v>
      </c>
      <c r="D28" s="3" t="str">
        <f t="shared" si="2"/>
        <v>Банки з приватним капіталом</v>
      </c>
      <c r="E28" s="4">
        <v>1944.104</v>
      </c>
      <c r="F28" s="4">
        <v>2633.087</v>
      </c>
      <c r="G28" s="30">
        <v>0.14280000000000001</v>
      </c>
      <c r="H28" s="30">
        <v>0.10539999999999999</v>
      </c>
      <c r="I28" s="4">
        <v>18445.009487666037</v>
      </c>
      <c r="J28" s="120" t="str">
        <f t="shared" si="0"/>
        <v>ні</v>
      </c>
      <c r="K28" s="4">
        <v>1944.104</v>
      </c>
      <c r="L28" s="4">
        <v>2633.087</v>
      </c>
      <c r="M28" s="30">
        <v>0.14280000000000001</v>
      </c>
      <c r="N28" s="30">
        <v>0.10539999999999999</v>
      </c>
      <c r="O28" s="4">
        <v>18445.009487666037</v>
      </c>
      <c r="P28" s="4">
        <v>3725.6329999999998</v>
      </c>
      <c r="Q28" s="4">
        <v>4900.4290000000001</v>
      </c>
      <c r="R28" s="4">
        <v>5928.17</v>
      </c>
      <c r="S28" s="4">
        <v>3725.6329999999998</v>
      </c>
      <c r="T28" s="4">
        <v>4900.4290000000001</v>
      </c>
      <c r="U28" s="4">
        <v>5928.17</v>
      </c>
      <c r="V28" s="30">
        <v>0.1328</v>
      </c>
      <c r="W28" s="30">
        <v>0.15659999999999999</v>
      </c>
      <c r="X28" s="30">
        <v>0.18959999999999999</v>
      </c>
      <c r="Y28" s="30">
        <v>0.1328</v>
      </c>
      <c r="Z28" s="30">
        <v>0.15659999999999999</v>
      </c>
      <c r="AA28" s="30">
        <v>0.18959999999999999</v>
      </c>
      <c r="AB28" s="4">
        <v>28054.465361445782</v>
      </c>
      <c r="AC28" s="4">
        <v>31292.650063856963</v>
      </c>
      <c r="AD28" s="4">
        <v>31266.719409282701</v>
      </c>
      <c r="AE28" s="4">
        <v>1548.9680000000001</v>
      </c>
      <c r="AF28" s="4">
        <v>1589.05</v>
      </c>
      <c r="AG28" s="4">
        <v>2212.7689999999998</v>
      </c>
      <c r="AH28" s="4">
        <v>1548.9680000000001</v>
      </c>
      <c r="AI28" s="4">
        <v>1589.05</v>
      </c>
      <c r="AJ28" s="4">
        <v>2212.7689999999998</v>
      </c>
      <c r="AK28" s="62">
        <v>5.62E-2</v>
      </c>
      <c r="AL28" s="62">
        <v>5.3499999999999999E-2</v>
      </c>
      <c r="AM28" s="62">
        <v>7.3999999999999996E-2</v>
      </c>
      <c r="AN28" s="62">
        <v>5.62E-2</v>
      </c>
      <c r="AO28" s="62">
        <v>5.3499999999999999E-2</v>
      </c>
      <c r="AP28" s="62">
        <v>7.3999999999999996E-2</v>
      </c>
      <c r="AQ28" s="4">
        <v>27561.708185053383</v>
      </c>
      <c r="AR28" s="4">
        <v>29701.869158878504</v>
      </c>
      <c r="AS28" s="4">
        <v>29902.283783783783</v>
      </c>
      <c r="AT28" s="62">
        <v>0.1</v>
      </c>
      <c r="AU28" s="62">
        <v>7.0000000000000007E-2</v>
      </c>
      <c r="AV28" s="62">
        <v>0.1</v>
      </c>
      <c r="AW28" s="118">
        <v>9.4E-2</v>
      </c>
      <c r="AX28" s="119">
        <v>0.1</v>
      </c>
      <c r="AY28" s="119">
        <v>7.0000000000000007E-2</v>
      </c>
      <c r="AZ28" s="118">
        <v>0.1915</v>
      </c>
      <c r="BA28" s="62">
        <v>9.8100000000000007E-2</v>
      </c>
      <c r="BB28" s="46"/>
      <c r="BC28" s="46"/>
      <c r="BD28" s="32"/>
      <c r="BE28" s="46"/>
      <c r="BF28" s="46"/>
    </row>
    <row r="29" spans="1:58" x14ac:dyDescent="0.25">
      <c r="A29" s="3">
        <v>20</v>
      </c>
      <c r="B29" s="3">
        <v>270</v>
      </c>
      <c r="C29" s="33" t="str">
        <f>IF($J$1="ENG","Kredyt Dnipro","Кредит Дніпро")</f>
        <v>Кредит Дніпро</v>
      </c>
      <c r="D29" s="3" t="str">
        <f t="shared" si="2"/>
        <v>Банки з приватним капіталом</v>
      </c>
      <c r="E29" s="4">
        <v>911.23500000000001</v>
      </c>
      <c r="F29" s="4">
        <v>991.43100000000004</v>
      </c>
      <c r="G29" s="30">
        <v>0.15920000000000001</v>
      </c>
      <c r="H29" s="30">
        <v>0.14630000000000001</v>
      </c>
      <c r="I29" s="4">
        <v>6228.537252221462</v>
      </c>
      <c r="J29" s="120" t="str">
        <f t="shared" si="0"/>
        <v>ні</v>
      </c>
      <c r="K29" s="4">
        <v>779.63400000000001</v>
      </c>
      <c r="L29" s="4">
        <v>859.83</v>
      </c>
      <c r="M29" s="30">
        <v>0.1414</v>
      </c>
      <c r="N29" s="30">
        <v>0.12820000000000001</v>
      </c>
      <c r="O29" s="4">
        <v>6081.388455538221</v>
      </c>
      <c r="P29" s="4">
        <v>779.35599999999999</v>
      </c>
      <c r="Q29" s="4">
        <v>908.18799999999999</v>
      </c>
      <c r="R29" s="4">
        <v>1080.731</v>
      </c>
      <c r="S29" s="4">
        <v>859.55200000000002</v>
      </c>
      <c r="T29" s="4">
        <v>988.38400000000001</v>
      </c>
      <c r="U29" s="4">
        <v>1160.9269999999999</v>
      </c>
      <c r="V29" s="30">
        <v>0.12889999999999999</v>
      </c>
      <c r="W29" s="30">
        <v>0.12770000000000001</v>
      </c>
      <c r="X29" s="30">
        <v>0.15060000000000001</v>
      </c>
      <c r="Y29" s="30">
        <v>0.1169</v>
      </c>
      <c r="Z29" s="30">
        <v>0.1174</v>
      </c>
      <c r="AA29" s="30">
        <v>0.14019999999999999</v>
      </c>
      <c r="AB29" s="4">
        <v>6666.8605645851148</v>
      </c>
      <c r="AC29" s="4">
        <v>7735.8432708688242</v>
      </c>
      <c r="AD29" s="4">
        <v>7708.4950071326684</v>
      </c>
      <c r="AE29" s="4">
        <v>131.624</v>
      </c>
      <c r="AF29" s="4">
        <v>22.327000000000002</v>
      </c>
      <c r="AG29" s="4">
        <v>-57.216000000000001</v>
      </c>
      <c r="AH29" s="4">
        <v>211.821</v>
      </c>
      <c r="AI29" s="4">
        <v>44.345999999999997</v>
      </c>
      <c r="AJ29" s="4">
        <v>-57.524000000000001</v>
      </c>
      <c r="AK29" s="62">
        <v>3.0700000000000002E-2</v>
      </c>
      <c r="AL29" s="62">
        <v>5.5999999999999999E-3</v>
      </c>
      <c r="AM29" s="62">
        <v>-7.1000000000000004E-3</v>
      </c>
      <c r="AN29" s="62">
        <v>1.9099999999999999E-2</v>
      </c>
      <c r="AO29" s="62">
        <v>2.8E-3</v>
      </c>
      <c r="AP29" s="62">
        <v>-7.1000000000000004E-3</v>
      </c>
      <c r="AQ29" s="4">
        <v>6891.3089005235606</v>
      </c>
      <c r="AR29" s="4">
        <v>7973.9285714285725</v>
      </c>
      <c r="AS29" s="4">
        <v>8058.5915492957747</v>
      </c>
      <c r="AT29" s="62">
        <v>0.1</v>
      </c>
      <c r="AU29" s="62">
        <v>7.0000000000000007E-2</v>
      </c>
      <c r="AV29" s="62">
        <v>0.188</v>
      </c>
      <c r="AW29" s="118">
        <v>0.17299999999999999</v>
      </c>
      <c r="AX29" s="119">
        <v>0.1</v>
      </c>
      <c r="AY29" s="119">
        <v>7.0000000000000007E-2</v>
      </c>
      <c r="AZ29" s="118">
        <v>0.20699999999999999</v>
      </c>
      <c r="BA29" s="62">
        <v>0.10349999999999999</v>
      </c>
      <c r="BB29" s="46"/>
      <c r="BC29" s="46"/>
      <c r="BD29" s="32"/>
      <c r="BE29" s="46"/>
      <c r="BF29" s="46"/>
    </row>
    <row r="30" spans="1:58" x14ac:dyDescent="0.25">
      <c r="A30" s="3">
        <v>21</v>
      </c>
      <c r="B30" s="3">
        <v>305</v>
      </c>
      <c r="C30" s="33" t="str">
        <f>IF($J$1="ENG","Vostok","Восток")</f>
        <v>Восток</v>
      </c>
      <c r="D30" s="3" t="str">
        <f t="shared" si="2"/>
        <v>Банки з приватним капіталом</v>
      </c>
      <c r="E30" s="4">
        <v>840.625</v>
      </c>
      <c r="F30" s="4">
        <v>1086.172</v>
      </c>
      <c r="G30" s="30">
        <v>0.123</v>
      </c>
      <c r="H30" s="30">
        <v>9.5200000000000007E-2</v>
      </c>
      <c r="I30" s="4">
        <v>8830.0945378151246</v>
      </c>
      <c r="J30" s="120" t="str">
        <f t="shared" si="0"/>
        <v>ні</v>
      </c>
      <c r="K30" s="4">
        <v>840.625</v>
      </c>
      <c r="L30" s="4">
        <v>1062.8320000000001</v>
      </c>
      <c r="M30" s="30">
        <v>0.1207</v>
      </c>
      <c r="N30" s="30">
        <v>9.5500000000000002E-2</v>
      </c>
      <c r="O30" s="4">
        <v>8802.3560209424086</v>
      </c>
      <c r="P30" s="4">
        <v>1060.7059999999999</v>
      </c>
      <c r="Q30" s="4">
        <v>1227.3050000000001</v>
      </c>
      <c r="R30" s="4">
        <v>1263.874</v>
      </c>
      <c r="S30" s="4">
        <v>1163.5740000000001</v>
      </c>
      <c r="T30" s="4">
        <v>1320.6610000000001</v>
      </c>
      <c r="U30" s="4">
        <v>1333.6510000000001</v>
      </c>
      <c r="V30" s="30">
        <v>0.11899999999999999</v>
      </c>
      <c r="W30" s="30">
        <v>0.1212</v>
      </c>
      <c r="X30" s="30">
        <v>0.1227</v>
      </c>
      <c r="Y30" s="30">
        <v>0.1084</v>
      </c>
      <c r="Z30" s="30">
        <v>0.11269999999999999</v>
      </c>
      <c r="AA30" s="30">
        <v>0.1163</v>
      </c>
      <c r="AB30" s="4">
        <v>9785.1107011070108</v>
      </c>
      <c r="AC30" s="4">
        <v>10890.017746228927</v>
      </c>
      <c r="AD30" s="4">
        <v>10867.360275150473</v>
      </c>
      <c r="AE30" s="4">
        <v>395.09699999999998</v>
      </c>
      <c r="AF30" s="4">
        <v>43.427</v>
      </c>
      <c r="AG30" s="4">
        <v>-183.82400000000001</v>
      </c>
      <c r="AH30" s="4">
        <v>515.58900000000006</v>
      </c>
      <c r="AI30" s="4">
        <v>86.853999999999999</v>
      </c>
      <c r="AJ30" s="4">
        <v>-183.82400000000001</v>
      </c>
      <c r="AK30" s="62">
        <v>4.9700000000000001E-2</v>
      </c>
      <c r="AL30" s="62">
        <v>7.6E-3</v>
      </c>
      <c r="AM30" s="62">
        <v>-1.5699999999999999E-2</v>
      </c>
      <c r="AN30" s="62">
        <v>3.8100000000000002E-2</v>
      </c>
      <c r="AO30" s="62">
        <v>3.8E-3</v>
      </c>
      <c r="AP30" s="62">
        <v>-1.5699999999999999E-2</v>
      </c>
      <c r="AQ30" s="4">
        <v>10369.999999999998</v>
      </c>
      <c r="AR30" s="4">
        <v>11428.157894736842</v>
      </c>
      <c r="AS30" s="4">
        <v>11708.535031847136</v>
      </c>
      <c r="AT30" s="62">
        <v>0.1</v>
      </c>
      <c r="AU30" s="62">
        <v>7.0000000000000007E-2</v>
      </c>
      <c r="AV30" s="62">
        <v>0.17899999999999999</v>
      </c>
      <c r="AW30" s="118">
        <v>0.16300000000000001</v>
      </c>
      <c r="AX30" s="119">
        <v>0.112</v>
      </c>
      <c r="AY30" s="119">
        <v>9.7000000000000003E-2</v>
      </c>
      <c r="AZ30" s="118">
        <v>0.14990000000000001</v>
      </c>
      <c r="BA30" s="62">
        <v>9.9599999999999994E-2</v>
      </c>
      <c r="BB30" s="46"/>
      <c r="BC30" s="46"/>
      <c r="BD30" s="32"/>
      <c r="BE30" s="46"/>
      <c r="BF30" s="46"/>
    </row>
    <row r="31" spans="1:58" x14ac:dyDescent="0.25">
      <c r="A31" s="3">
        <v>22</v>
      </c>
      <c r="B31" s="3">
        <v>126</v>
      </c>
      <c r="C31" s="33" t="str">
        <f>IF($J$1="ENG","Megabank","Мегабанк")</f>
        <v>Мегабанк</v>
      </c>
      <c r="D31" s="3" t="str">
        <f t="shared" si="2"/>
        <v>Банки з приватним капіталом</v>
      </c>
      <c r="E31" s="4">
        <v>641.20799999999997</v>
      </c>
      <c r="F31" s="4">
        <v>949.85</v>
      </c>
      <c r="G31" s="30">
        <v>0.1053</v>
      </c>
      <c r="H31" s="30">
        <v>7.1099999999999997E-2</v>
      </c>
      <c r="I31" s="4">
        <v>9018.3966244725743</v>
      </c>
      <c r="J31" s="120" t="str">
        <f t="shared" si="0"/>
        <v>ні</v>
      </c>
      <c r="K31" s="4">
        <v>498.33</v>
      </c>
      <c r="L31" s="4">
        <v>807.00699999999995</v>
      </c>
      <c r="M31" s="30">
        <v>9.0899999999999995E-2</v>
      </c>
      <c r="N31" s="30">
        <v>5.6099999999999997E-2</v>
      </c>
      <c r="O31" s="4">
        <v>8882.8877005347604</v>
      </c>
      <c r="P31" s="4">
        <v>-803.28800000000001</v>
      </c>
      <c r="Q31" s="4">
        <v>-1347.742</v>
      </c>
      <c r="R31" s="4">
        <v>-1895.6279999999999</v>
      </c>
      <c r="S31" s="4">
        <v>-803.28800000000001</v>
      </c>
      <c r="T31" s="4">
        <v>-1347.742</v>
      </c>
      <c r="U31" s="4">
        <v>-1895.6279999999999</v>
      </c>
      <c r="V31" s="30">
        <v>-9.5299999999999996E-2</v>
      </c>
      <c r="W31" s="30">
        <v>-0.14810000000000001</v>
      </c>
      <c r="X31" s="30">
        <v>-0.20860000000000001</v>
      </c>
      <c r="Y31" s="30">
        <v>-9.5299999999999996E-2</v>
      </c>
      <c r="Z31" s="30">
        <v>-0.14810000000000001</v>
      </c>
      <c r="AA31" s="30">
        <v>-0.20860000000000001</v>
      </c>
      <c r="AB31" s="4">
        <v>8429.0451206715643</v>
      </c>
      <c r="AC31" s="4">
        <v>9100.2160702228211</v>
      </c>
      <c r="AD31" s="4">
        <v>9087.3825503355692</v>
      </c>
      <c r="AE31" s="4">
        <v>-1121.146</v>
      </c>
      <c r="AF31" s="4">
        <v>-2005.0940000000001</v>
      </c>
      <c r="AG31" s="4">
        <v>-2740.819</v>
      </c>
      <c r="AH31" s="4">
        <v>-1121.146</v>
      </c>
      <c r="AI31" s="4">
        <v>-2005.0940000000001</v>
      </c>
      <c r="AJ31" s="4">
        <v>-2740.819</v>
      </c>
      <c r="AK31" s="62">
        <v>-0.12859999999999999</v>
      </c>
      <c r="AL31" s="62">
        <v>-0.21390000000000001</v>
      </c>
      <c r="AM31" s="62">
        <v>-0.28399999999999997</v>
      </c>
      <c r="AN31" s="62">
        <v>-0.12859999999999999</v>
      </c>
      <c r="AO31" s="62">
        <v>-0.21390000000000001</v>
      </c>
      <c r="AP31" s="62">
        <v>-0.28399999999999997</v>
      </c>
      <c r="AQ31" s="4">
        <v>8718.0870917573866</v>
      </c>
      <c r="AR31" s="4">
        <v>9373.9784946236559</v>
      </c>
      <c r="AS31" s="4">
        <v>9650.7711267605646</v>
      </c>
      <c r="AT31" s="62">
        <v>0.37</v>
      </c>
      <c r="AU31" s="62">
        <v>0.34</v>
      </c>
      <c r="AV31" s="62">
        <v>0.41499999999999998</v>
      </c>
      <c r="AW31" s="118">
        <v>0.4</v>
      </c>
      <c r="AX31" s="119">
        <v>0.41499999999999998</v>
      </c>
      <c r="AY31" s="119">
        <v>0.4</v>
      </c>
      <c r="AZ31" s="118">
        <v>0.1125</v>
      </c>
      <c r="BA31" s="62">
        <v>8.7099999999999997E-2</v>
      </c>
      <c r="BB31" s="46"/>
      <c r="BC31" s="46"/>
      <c r="BD31" s="32"/>
      <c r="BE31" s="46"/>
      <c r="BF31" s="46"/>
    </row>
    <row r="32" spans="1:58" x14ac:dyDescent="0.25">
      <c r="A32" s="3">
        <v>23</v>
      </c>
      <c r="B32" s="3">
        <v>96</v>
      </c>
      <c r="C32" s="33" t="str">
        <f>IF($J$1="ENG","A-Bank","А - Банк")</f>
        <v>А - Банк</v>
      </c>
      <c r="D32" s="3" t="str">
        <f t="shared" si="2"/>
        <v>Банки з приватним капіталом</v>
      </c>
      <c r="E32" s="4">
        <v>790.47299999999996</v>
      </c>
      <c r="F32" s="4">
        <v>1061.3119999999999</v>
      </c>
      <c r="G32" s="30">
        <v>0.1318</v>
      </c>
      <c r="H32" s="30">
        <v>9.8199999999999996E-2</v>
      </c>
      <c r="I32" s="4">
        <v>8049.6232179226072</v>
      </c>
      <c r="J32" s="120" t="str">
        <f t="shared" si="0"/>
        <v>ні</v>
      </c>
      <c r="K32" s="4">
        <v>790.47299999999996</v>
      </c>
      <c r="L32" s="4">
        <v>1061.3119999999999</v>
      </c>
      <c r="M32" s="30">
        <v>0.1318</v>
      </c>
      <c r="N32" s="30">
        <v>9.8199999999999996E-2</v>
      </c>
      <c r="O32" s="4">
        <v>8049.6232179226072</v>
      </c>
      <c r="P32" s="4">
        <v>1620.057</v>
      </c>
      <c r="Q32" s="4">
        <v>2171.2890000000002</v>
      </c>
      <c r="R32" s="4">
        <v>2652.0520000000001</v>
      </c>
      <c r="S32" s="4">
        <v>1621.644</v>
      </c>
      <c r="T32" s="4">
        <v>2172.875</v>
      </c>
      <c r="U32" s="4">
        <v>2653.6379999999999</v>
      </c>
      <c r="V32" s="30">
        <v>0.1298</v>
      </c>
      <c r="W32" s="30">
        <v>0.15529999999999999</v>
      </c>
      <c r="X32" s="30">
        <v>0.19020000000000001</v>
      </c>
      <c r="Y32" s="30">
        <v>0.12970000000000001</v>
      </c>
      <c r="Z32" s="30">
        <v>0.1552</v>
      </c>
      <c r="AA32" s="30">
        <v>0.19009999999999999</v>
      </c>
      <c r="AB32" s="4">
        <v>12490.801850424055</v>
      </c>
      <c r="AC32" s="4">
        <v>13990.264175257733</v>
      </c>
      <c r="AD32" s="4">
        <v>13950.825881115205</v>
      </c>
      <c r="AE32" s="4">
        <v>1328.309</v>
      </c>
      <c r="AF32" s="4">
        <v>1518.4880000000001</v>
      </c>
      <c r="AG32" s="4">
        <v>2015.6559999999999</v>
      </c>
      <c r="AH32" s="4">
        <v>1329.896</v>
      </c>
      <c r="AI32" s="4">
        <v>1520.0740000000001</v>
      </c>
      <c r="AJ32" s="4">
        <v>2017.242</v>
      </c>
      <c r="AK32" s="62">
        <v>0.1091</v>
      </c>
      <c r="AL32" s="62">
        <v>0.1147</v>
      </c>
      <c r="AM32" s="62">
        <v>0.15179999999999999</v>
      </c>
      <c r="AN32" s="62">
        <v>0.109</v>
      </c>
      <c r="AO32" s="62">
        <v>0.11459999999999999</v>
      </c>
      <c r="AP32" s="62">
        <v>0.1517</v>
      </c>
      <c r="AQ32" s="4">
        <v>12186.32110091743</v>
      </c>
      <c r="AR32" s="4">
        <v>13250.331588132636</v>
      </c>
      <c r="AS32" s="4">
        <v>13287.119314436388</v>
      </c>
      <c r="AT32" s="62">
        <v>0.1</v>
      </c>
      <c r="AU32" s="62">
        <v>7.0000000000000007E-2</v>
      </c>
      <c r="AV32" s="62">
        <v>0.1</v>
      </c>
      <c r="AW32" s="118">
        <v>7.0000000000000007E-2</v>
      </c>
      <c r="AX32" s="119">
        <v>0.1</v>
      </c>
      <c r="AY32" s="119">
        <v>7.0000000000000007E-2</v>
      </c>
      <c r="AZ32" s="118">
        <v>0.1462</v>
      </c>
      <c r="BA32" s="62">
        <v>8.8499999999999995E-2</v>
      </c>
      <c r="BB32" s="46"/>
      <c r="BC32" s="46"/>
      <c r="BD32" s="32"/>
      <c r="BE32" s="46"/>
      <c r="BF32" s="46"/>
    </row>
    <row r="33" spans="1:58" x14ac:dyDescent="0.25">
      <c r="A33" s="3">
        <v>24</v>
      </c>
      <c r="B33" s="3">
        <v>105</v>
      </c>
      <c r="C33" s="33" t="str">
        <f>IF($J$1="ENG","MTB","МТБ")</f>
        <v>МТБ</v>
      </c>
      <c r="D33" s="3" t="str">
        <f t="shared" ref="D33:D38" si="3">IF($J$1="ENG","Private banks","Банки з приватним капіталом")</f>
        <v>Банки з приватним капіталом</v>
      </c>
      <c r="E33" s="4">
        <v>628.23</v>
      </c>
      <c r="F33" s="4">
        <v>716.24</v>
      </c>
      <c r="G33" s="30">
        <v>0.13469999999999999</v>
      </c>
      <c r="H33" s="30">
        <v>0.1182</v>
      </c>
      <c r="I33" s="4">
        <v>5314.9746192893399</v>
      </c>
      <c r="J33" s="120" t="str">
        <f t="shared" si="0"/>
        <v>ні</v>
      </c>
      <c r="K33" s="4">
        <v>628.23</v>
      </c>
      <c r="L33" s="4">
        <v>717.07</v>
      </c>
      <c r="M33" s="30">
        <v>0.13489999999999999</v>
      </c>
      <c r="N33" s="30">
        <v>0.1181</v>
      </c>
      <c r="O33" s="4">
        <v>5319.4750211685014</v>
      </c>
      <c r="P33" s="4">
        <v>693.149</v>
      </c>
      <c r="Q33" s="4">
        <v>748.14800000000002</v>
      </c>
      <c r="R33" s="4">
        <v>688.70600000000002</v>
      </c>
      <c r="S33" s="4">
        <v>747.64499999999998</v>
      </c>
      <c r="T33" s="4">
        <v>790.87300000000005</v>
      </c>
      <c r="U33" s="4">
        <v>718.84299999999996</v>
      </c>
      <c r="V33" s="30">
        <v>0.1278</v>
      </c>
      <c r="W33" s="30">
        <v>0.12280000000000001</v>
      </c>
      <c r="X33" s="30">
        <v>0.1132</v>
      </c>
      <c r="Y33" s="30">
        <v>0.11849999999999999</v>
      </c>
      <c r="Z33" s="30">
        <v>0.1162</v>
      </c>
      <c r="AA33" s="30">
        <v>0.1084</v>
      </c>
      <c r="AB33" s="4">
        <v>5849.3586497890301</v>
      </c>
      <c r="AC33" s="4">
        <v>6438.4509466437185</v>
      </c>
      <c r="AD33" s="4">
        <v>6353.376383763838</v>
      </c>
      <c r="AE33" s="4">
        <v>301.15100000000001</v>
      </c>
      <c r="AF33" s="4">
        <v>149.398</v>
      </c>
      <c r="AG33" s="4">
        <v>-21.622</v>
      </c>
      <c r="AH33" s="4">
        <v>361.96199999999999</v>
      </c>
      <c r="AI33" s="4">
        <v>197.44900000000001</v>
      </c>
      <c r="AJ33" s="4">
        <v>-21.622</v>
      </c>
      <c r="AK33" s="62">
        <v>5.91E-2</v>
      </c>
      <c r="AL33" s="62">
        <v>2.93E-2</v>
      </c>
      <c r="AM33" s="62">
        <v>-3.2000000000000002E-3</v>
      </c>
      <c r="AN33" s="62">
        <v>4.9200000000000001E-2</v>
      </c>
      <c r="AO33" s="62">
        <v>2.2200000000000001E-2</v>
      </c>
      <c r="AP33" s="62">
        <v>-3.2000000000000002E-3</v>
      </c>
      <c r="AQ33" s="4">
        <v>6120.955284552846</v>
      </c>
      <c r="AR33" s="4">
        <v>6729.6396396396394</v>
      </c>
      <c r="AS33" s="4">
        <v>6756.875</v>
      </c>
      <c r="AT33" s="62">
        <v>0.1</v>
      </c>
      <c r="AU33" s="62">
        <v>7.0000000000000007E-2</v>
      </c>
      <c r="AV33" s="62">
        <v>0.17599999999999999</v>
      </c>
      <c r="AW33" s="118">
        <v>0.161</v>
      </c>
      <c r="AX33" s="119">
        <v>0.1003</v>
      </c>
      <c r="AY33" s="119">
        <v>8.5300000000000001E-2</v>
      </c>
      <c r="AZ33" s="118">
        <v>0.14269999999999999</v>
      </c>
      <c r="BA33" s="62">
        <v>0.1067</v>
      </c>
      <c r="BB33" s="46"/>
      <c r="BC33" s="46"/>
      <c r="BD33" s="32"/>
      <c r="BE33" s="46"/>
      <c r="BF33" s="46"/>
    </row>
    <row r="34" spans="1:58" x14ac:dyDescent="0.25">
      <c r="A34" s="3">
        <v>25</v>
      </c>
      <c r="B34" s="3">
        <v>101</v>
      </c>
      <c r="C34" s="33" t="str">
        <f>IF($J$1="ENG","Industrialbank","Індустріалбанк")</f>
        <v>Індустріалбанк</v>
      </c>
      <c r="D34" s="3" t="str">
        <f t="shared" si="3"/>
        <v>Банки з приватним капіталом</v>
      </c>
      <c r="E34" s="4">
        <v>1014.011</v>
      </c>
      <c r="F34" s="4">
        <v>1014.011</v>
      </c>
      <c r="G34" s="30">
        <v>0.42199999999999999</v>
      </c>
      <c r="H34" s="30">
        <v>0.42199999999999999</v>
      </c>
      <c r="I34" s="4">
        <v>2402.8696682464456</v>
      </c>
      <c r="J34" s="120" t="str">
        <f t="shared" si="0"/>
        <v>ні</v>
      </c>
      <c r="K34" s="4">
        <v>1011.3819999999999</v>
      </c>
      <c r="L34" s="4">
        <v>1011.3819999999999</v>
      </c>
      <c r="M34" s="30">
        <v>0.42130000000000001</v>
      </c>
      <c r="N34" s="30">
        <v>0.42130000000000001</v>
      </c>
      <c r="O34" s="4">
        <v>2400.6218846427723</v>
      </c>
      <c r="P34" s="4">
        <v>950.16099999999994</v>
      </c>
      <c r="Q34" s="4">
        <v>851.06799999999998</v>
      </c>
      <c r="R34" s="4">
        <v>711.13099999999997</v>
      </c>
      <c r="S34" s="4">
        <v>950.16099999999994</v>
      </c>
      <c r="T34" s="4">
        <v>851.06799999999998</v>
      </c>
      <c r="U34" s="4">
        <v>711.13099999999997</v>
      </c>
      <c r="V34" s="30">
        <v>0.33589999999999998</v>
      </c>
      <c r="W34" s="30">
        <v>0.25640000000000002</v>
      </c>
      <c r="X34" s="30">
        <v>0.2145</v>
      </c>
      <c r="Y34" s="30">
        <v>0.33589999999999998</v>
      </c>
      <c r="Z34" s="30">
        <v>0.25640000000000002</v>
      </c>
      <c r="AA34" s="30">
        <v>0.2145</v>
      </c>
      <c r="AB34" s="4">
        <v>2828.7019946412624</v>
      </c>
      <c r="AC34" s="4">
        <v>3319.2979719188766</v>
      </c>
      <c r="AD34" s="4">
        <v>3315.2960372960374</v>
      </c>
      <c r="AE34" s="4">
        <v>771.03</v>
      </c>
      <c r="AF34" s="4">
        <v>607.85900000000004</v>
      </c>
      <c r="AG34" s="4">
        <v>442.49400000000003</v>
      </c>
      <c r="AH34" s="4">
        <v>771.03</v>
      </c>
      <c r="AI34" s="4">
        <v>607.85900000000004</v>
      </c>
      <c r="AJ34" s="4">
        <v>442.49400000000003</v>
      </c>
      <c r="AK34" s="62">
        <v>0.26079999999999998</v>
      </c>
      <c r="AL34" s="62">
        <v>0.17449999999999999</v>
      </c>
      <c r="AM34" s="62">
        <v>0.124</v>
      </c>
      <c r="AN34" s="62">
        <v>0.26079999999999998</v>
      </c>
      <c r="AO34" s="62">
        <v>0.17449999999999999</v>
      </c>
      <c r="AP34" s="62">
        <v>0.124</v>
      </c>
      <c r="AQ34" s="4">
        <v>2956.4033742331289</v>
      </c>
      <c r="AR34" s="4">
        <v>3483.4326647564476</v>
      </c>
      <c r="AS34" s="4">
        <v>3568.5000000000005</v>
      </c>
      <c r="AT34" s="62">
        <v>0.19500000000000001</v>
      </c>
      <c r="AU34" s="62">
        <v>0.19500000000000001</v>
      </c>
      <c r="AV34" s="62">
        <v>0.27200000000000002</v>
      </c>
      <c r="AW34" s="62">
        <v>0.27200000000000002</v>
      </c>
      <c r="AX34" s="30">
        <v>0.27200000000000002</v>
      </c>
      <c r="AY34" s="30">
        <v>0.27200000000000002</v>
      </c>
      <c r="AZ34" s="62">
        <v>0.40739999999999998</v>
      </c>
      <c r="BA34" s="62">
        <v>0.39600000000000002</v>
      </c>
      <c r="BB34" s="46"/>
      <c r="BC34" s="46"/>
      <c r="BD34" s="32"/>
      <c r="BE34" s="46"/>
      <c r="BF34" s="46"/>
    </row>
    <row r="35" spans="1:58" x14ac:dyDescent="0.25">
      <c r="A35" s="3">
        <v>26</v>
      </c>
      <c r="B35" s="3">
        <v>320</v>
      </c>
      <c r="C35" s="33" t="str">
        <f>IF($J$1="ENG","Bank for Investments and Savings","Банк Інвестицій та заощаджень")</f>
        <v>Банк Інвестицій та заощаджень</v>
      </c>
      <c r="D35" s="3" t="str">
        <f t="shared" si="3"/>
        <v>Банки з приватним капіталом</v>
      </c>
      <c r="E35" s="4">
        <v>508.71199999999999</v>
      </c>
      <c r="F35" s="4">
        <v>558.07100000000003</v>
      </c>
      <c r="G35" s="30">
        <v>0.1484</v>
      </c>
      <c r="H35" s="30">
        <v>0.1353</v>
      </c>
      <c r="I35" s="4">
        <v>3759.8817442719878</v>
      </c>
      <c r="J35" s="120" t="str">
        <f t="shared" si="0"/>
        <v>ні</v>
      </c>
      <c r="K35" s="4">
        <v>508.71199999999999</v>
      </c>
      <c r="L35" s="4">
        <v>535.91399999999999</v>
      </c>
      <c r="M35" s="30">
        <v>0.1434</v>
      </c>
      <c r="N35" s="30">
        <v>0.1361</v>
      </c>
      <c r="O35" s="4">
        <v>3737.7810433504774</v>
      </c>
      <c r="P35" s="4">
        <v>329.53899999999999</v>
      </c>
      <c r="Q35" s="4">
        <v>195.732</v>
      </c>
      <c r="R35" s="4">
        <v>25.56</v>
      </c>
      <c r="S35" s="4">
        <v>329.53899999999999</v>
      </c>
      <c r="T35" s="4">
        <v>195.732</v>
      </c>
      <c r="U35" s="4">
        <v>25.56</v>
      </c>
      <c r="V35" s="30">
        <v>8.0199999999999994E-2</v>
      </c>
      <c r="W35" s="30">
        <v>4.3499999999999997E-2</v>
      </c>
      <c r="X35" s="30">
        <v>5.7000000000000002E-3</v>
      </c>
      <c r="Y35" s="30">
        <v>8.0199999999999994E-2</v>
      </c>
      <c r="Z35" s="30">
        <v>4.3499999999999997E-2</v>
      </c>
      <c r="AA35" s="30">
        <v>5.7000000000000002E-3</v>
      </c>
      <c r="AB35" s="4">
        <v>4108.9650872817956</v>
      </c>
      <c r="AC35" s="4">
        <v>4499.5862068965516</v>
      </c>
      <c r="AD35" s="4">
        <v>4484.2105263157891</v>
      </c>
      <c r="AE35" s="4">
        <v>15.663</v>
      </c>
      <c r="AF35" s="4">
        <v>-279.66800000000001</v>
      </c>
      <c r="AG35" s="4">
        <v>-522.07399999999996</v>
      </c>
      <c r="AH35" s="4">
        <v>15.663</v>
      </c>
      <c r="AI35" s="4">
        <v>-279.66800000000001</v>
      </c>
      <c r="AJ35" s="4">
        <v>-522.07399999999996</v>
      </c>
      <c r="AK35" s="62">
        <v>3.8E-3</v>
      </c>
      <c r="AL35" s="62">
        <v>-6.25E-2</v>
      </c>
      <c r="AM35" s="62">
        <v>-0.11559999999999999</v>
      </c>
      <c r="AN35" s="62">
        <v>3.8E-3</v>
      </c>
      <c r="AO35" s="62">
        <v>-6.25E-2</v>
      </c>
      <c r="AP35" s="62">
        <v>-0.11559999999999999</v>
      </c>
      <c r="AQ35" s="4">
        <v>4121.8421052631584</v>
      </c>
      <c r="AR35" s="4">
        <v>4474.6880000000001</v>
      </c>
      <c r="AS35" s="4">
        <v>4516.2110726643596</v>
      </c>
      <c r="AT35" s="62">
        <v>0.23699999999999999</v>
      </c>
      <c r="AU35" s="62">
        <v>0.20699999999999999</v>
      </c>
      <c r="AV35" s="62">
        <v>0.33300000000000002</v>
      </c>
      <c r="AW35" s="62">
        <v>0.318</v>
      </c>
      <c r="AX35" s="30">
        <v>0.26</v>
      </c>
      <c r="AY35" s="30">
        <v>0.245</v>
      </c>
      <c r="AZ35" s="62">
        <v>0.28100000000000003</v>
      </c>
      <c r="BA35" s="62">
        <v>0.2606</v>
      </c>
      <c r="BB35" s="46"/>
      <c r="BC35" s="46"/>
      <c r="BD35" s="32"/>
      <c r="BE35" s="46"/>
      <c r="BF35" s="46"/>
    </row>
    <row r="36" spans="1:58" x14ac:dyDescent="0.25">
      <c r="A36" s="3">
        <v>27</v>
      </c>
      <c r="B36" s="80">
        <v>29</v>
      </c>
      <c r="C36" s="33" t="str">
        <f>IF($J$1="ENG","Alians","Альянс")</f>
        <v>Альянс</v>
      </c>
      <c r="D36" s="3" t="str">
        <f>IF($J$1="ENG","Private banks","Банки з приватним капіталом")</f>
        <v>Банки з приватним капіталом</v>
      </c>
      <c r="E36" s="4">
        <v>483.791</v>
      </c>
      <c r="F36" s="4">
        <v>574.75099999999998</v>
      </c>
      <c r="G36" s="30">
        <v>0.11070000000000001</v>
      </c>
      <c r="H36" s="30">
        <v>9.3200000000000005E-2</v>
      </c>
      <c r="I36" s="4">
        <v>5190.8905579399143</v>
      </c>
      <c r="J36" s="120" t="str">
        <f t="shared" si="0"/>
        <v>ні</v>
      </c>
      <c r="K36" s="4">
        <v>483.791</v>
      </c>
      <c r="L36" s="4">
        <v>541.95500000000004</v>
      </c>
      <c r="M36" s="30">
        <v>0.105</v>
      </c>
      <c r="N36" s="30">
        <v>9.3799999999999994E-2</v>
      </c>
      <c r="O36" s="4">
        <v>5157.686567164179</v>
      </c>
      <c r="P36" s="4">
        <v>115.72799999999999</v>
      </c>
      <c r="Q36" s="4">
        <v>281.75599999999997</v>
      </c>
      <c r="R36" s="4">
        <v>397.19299999999998</v>
      </c>
      <c r="S36" s="4">
        <v>172.22800000000001</v>
      </c>
      <c r="T36" s="4">
        <v>338.25599999999997</v>
      </c>
      <c r="U36" s="4">
        <v>453.69299999999998</v>
      </c>
      <c r="V36" s="30">
        <v>3.4500000000000003E-2</v>
      </c>
      <c r="W36" s="30">
        <v>6.2700000000000006E-2</v>
      </c>
      <c r="X36" s="30">
        <v>8.4199999999999997E-2</v>
      </c>
      <c r="Y36" s="30">
        <v>2.3199999999999998E-2</v>
      </c>
      <c r="Z36" s="30">
        <v>5.2200000000000003E-2</v>
      </c>
      <c r="AA36" s="30">
        <v>7.3700000000000002E-2</v>
      </c>
      <c r="AB36" s="4">
        <v>4988.2758620689656</v>
      </c>
      <c r="AC36" s="4">
        <v>5397.6245210727957</v>
      </c>
      <c r="AD36" s="4">
        <v>5389.3215739484394</v>
      </c>
      <c r="AE36" s="4">
        <v>-786.09</v>
      </c>
      <c r="AF36" s="4">
        <v>-857.81100000000004</v>
      </c>
      <c r="AG36" s="4">
        <v>-956.16800000000001</v>
      </c>
      <c r="AH36" s="4">
        <v>-786.09</v>
      </c>
      <c r="AI36" s="4">
        <v>-857.81100000000004</v>
      </c>
      <c r="AJ36" s="4">
        <v>-956.16800000000001</v>
      </c>
      <c r="AK36" s="62">
        <v>-0.1573</v>
      </c>
      <c r="AL36" s="62">
        <v>-0.15820000000000001</v>
      </c>
      <c r="AM36" s="62">
        <v>-0.1744</v>
      </c>
      <c r="AN36" s="62">
        <v>-0.1573</v>
      </c>
      <c r="AO36" s="62">
        <v>-0.15820000000000001</v>
      </c>
      <c r="AP36" s="62">
        <v>-0.1744</v>
      </c>
      <c r="AQ36" s="4">
        <v>4997.3935155753343</v>
      </c>
      <c r="AR36" s="4">
        <v>5422.3198482932994</v>
      </c>
      <c r="AS36" s="4">
        <v>5482.6146788990827</v>
      </c>
      <c r="AT36" s="62">
        <v>0.17199999999999999</v>
      </c>
      <c r="AU36" s="62">
        <v>0.14199999999999999</v>
      </c>
      <c r="AV36" s="62">
        <v>0.32900000000000001</v>
      </c>
      <c r="AW36" s="62">
        <v>0.314</v>
      </c>
      <c r="AX36" s="30">
        <v>0.13669999999999999</v>
      </c>
      <c r="AY36" s="30">
        <v>0.1217</v>
      </c>
      <c r="AZ36" s="62">
        <v>0.16159999999999999</v>
      </c>
      <c r="BA36" s="62">
        <v>9.0700000000000003E-2</v>
      </c>
      <c r="BB36" s="46"/>
      <c r="BC36" s="46"/>
      <c r="BD36" s="32"/>
      <c r="BE36" s="46"/>
      <c r="BF36" s="46"/>
    </row>
    <row r="37" spans="1:58" x14ac:dyDescent="0.25">
      <c r="A37" s="3">
        <v>28</v>
      </c>
      <c r="B37" s="3">
        <v>91</v>
      </c>
      <c r="C37" s="33" t="str">
        <f>IF($J$1="ENG","Lviv","Львів")</f>
        <v>Львів</v>
      </c>
      <c r="D37" s="3" t="str">
        <f t="shared" si="3"/>
        <v>Банки з приватним капіталом</v>
      </c>
      <c r="E37" s="4">
        <v>272.36700000000002</v>
      </c>
      <c r="F37" s="4">
        <v>472.91199999999998</v>
      </c>
      <c r="G37" s="30">
        <v>0.1404</v>
      </c>
      <c r="H37" s="30">
        <v>8.0799999999999997E-2</v>
      </c>
      <c r="I37" s="4">
        <v>3370.8787128712875</v>
      </c>
      <c r="J37" s="120" t="str">
        <f t="shared" si="0"/>
        <v>ні</v>
      </c>
      <c r="K37" s="4">
        <v>272.36700000000002</v>
      </c>
      <c r="L37" s="4">
        <v>472.28199999999998</v>
      </c>
      <c r="M37" s="30">
        <v>0.14019999999999999</v>
      </c>
      <c r="N37" s="30">
        <v>8.09E-2</v>
      </c>
      <c r="O37" s="4">
        <v>3366.7119901112487</v>
      </c>
      <c r="P37" s="4">
        <v>289.68299999999999</v>
      </c>
      <c r="Q37" s="4">
        <v>317.43099999999998</v>
      </c>
      <c r="R37" s="4">
        <v>297.46300000000002</v>
      </c>
      <c r="S37" s="4">
        <v>425.78300000000002</v>
      </c>
      <c r="T37" s="4">
        <v>427.22</v>
      </c>
      <c r="U37" s="4">
        <v>379.09699999999998</v>
      </c>
      <c r="V37" s="30">
        <v>0.1186</v>
      </c>
      <c r="W37" s="30">
        <v>0.1128</v>
      </c>
      <c r="X37" s="30">
        <v>0.1008</v>
      </c>
      <c r="Y37" s="30">
        <v>8.0699999999999994E-2</v>
      </c>
      <c r="Z37" s="30">
        <v>8.3799999999999999E-2</v>
      </c>
      <c r="AA37" s="30">
        <v>7.9100000000000004E-2</v>
      </c>
      <c r="AB37" s="4">
        <v>3589.6282527881044</v>
      </c>
      <c r="AC37" s="4">
        <v>3787.959427207637</v>
      </c>
      <c r="AD37" s="4">
        <v>3760.5941845764855</v>
      </c>
      <c r="AE37" s="4">
        <v>-261.964</v>
      </c>
      <c r="AF37" s="4">
        <v>-391.50200000000001</v>
      </c>
      <c r="AG37" s="4">
        <v>-462.91300000000001</v>
      </c>
      <c r="AH37" s="4">
        <v>-261.964</v>
      </c>
      <c r="AI37" s="4">
        <v>-391.50200000000001</v>
      </c>
      <c r="AJ37" s="4">
        <v>-462.91300000000001</v>
      </c>
      <c r="AK37" s="62">
        <v>-0.08</v>
      </c>
      <c r="AL37" s="62">
        <v>-0.115</v>
      </c>
      <c r="AM37" s="62">
        <v>-0.13469999999999999</v>
      </c>
      <c r="AN37" s="62">
        <v>-0.08</v>
      </c>
      <c r="AO37" s="62">
        <v>-0.115</v>
      </c>
      <c r="AP37" s="62">
        <v>-0.13469999999999999</v>
      </c>
      <c r="AQ37" s="4">
        <v>3274.5499999999997</v>
      </c>
      <c r="AR37" s="4">
        <v>3404.3652173913042</v>
      </c>
      <c r="AS37" s="4">
        <v>3436.622123236823</v>
      </c>
      <c r="AT37" s="62">
        <v>0.1</v>
      </c>
      <c r="AU37" s="62">
        <v>7.0000000000000007E-2</v>
      </c>
      <c r="AV37" s="62">
        <v>0.26900000000000002</v>
      </c>
      <c r="AW37" s="62">
        <v>0.254</v>
      </c>
      <c r="AX37" s="30">
        <v>0.11550000000000001</v>
      </c>
      <c r="AY37" s="30">
        <v>0.10050000000000001</v>
      </c>
      <c r="AZ37" s="62">
        <v>0.13619999999999999</v>
      </c>
      <c r="BA37" s="62">
        <v>9.1700000000000004E-2</v>
      </c>
      <c r="BB37" s="46"/>
      <c r="BC37" s="46"/>
      <c r="BD37" s="32"/>
      <c r="BE37" s="46"/>
      <c r="BF37" s="46"/>
    </row>
    <row r="38" spans="1:58" x14ac:dyDescent="0.25">
      <c r="A38" s="3">
        <v>29</v>
      </c>
      <c r="B38" s="3">
        <v>386</v>
      </c>
      <c r="C38" s="33" t="str">
        <f>IF($J$1="ENG","Globus","Глобус")</f>
        <v>Глобус</v>
      </c>
      <c r="D38" s="3" t="str">
        <f t="shared" si="3"/>
        <v>Банки з приватним капіталом</v>
      </c>
      <c r="E38" s="4">
        <v>403.185</v>
      </c>
      <c r="F38" s="4">
        <v>480</v>
      </c>
      <c r="G38" s="30">
        <v>0.155</v>
      </c>
      <c r="H38" s="30">
        <v>0.12970000000000001</v>
      </c>
      <c r="I38" s="4">
        <v>3108.5967617579026</v>
      </c>
      <c r="J38" s="120" t="str">
        <f t="shared" si="0"/>
        <v>ні</v>
      </c>
      <c r="K38" s="4">
        <v>403.185</v>
      </c>
      <c r="L38" s="4">
        <v>480.62400000000002</v>
      </c>
      <c r="M38" s="30">
        <v>0.15529999999999999</v>
      </c>
      <c r="N38" s="30">
        <v>0.1303</v>
      </c>
      <c r="O38" s="4">
        <v>3094.2824251726784</v>
      </c>
      <c r="P38" s="4">
        <v>516.66200000000003</v>
      </c>
      <c r="Q38" s="4">
        <v>634.61699999999996</v>
      </c>
      <c r="R38" s="4">
        <v>707.89200000000005</v>
      </c>
      <c r="S38" s="4">
        <v>564.66700000000003</v>
      </c>
      <c r="T38" s="4">
        <v>683.62900000000002</v>
      </c>
      <c r="U38" s="4">
        <v>756.73599999999999</v>
      </c>
      <c r="V38" s="30">
        <v>0.15740000000000001</v>
      </c>
      <c r="W38" s="30">
        <v>0.17130000000000001</v>
      </c>
      <c r="X38" s="30">
        <v>0.19009999999999999</v>
      </c>
      <c r="Y38" s="30">
        <v>0.14399999999999999</v>
      </c>
      <c r="Z38" s="30">
        <v>0.159</v>
      </c>
      <c r="AA38" s="30">
        <v>0.17780000000000001</v>
      </c>
      <c r="AB38" s="4">
        <v>3587.9305555555561</v>
      </c>
      <c r="AC38" s="4">
        <v>3991.3018867924525</v>
      </c>
      <c r="AD38" s="4">
        <v>3981.3948256467943</v>
      </c>
      <c r="AE38" s="4">
        <v>108.88800000000001</v>
      </c>
      <c r="AF38" s="4">
        <v>17.41</v>
      </c>
      <c r="AG38" s="4">
        <v>-21.497</v>
      </c>
      <c r="AH38" s="4">
        <v>165.11799999999999</v>
      </c>
      <c r="AI38" s="4">
        <v>34.82</v>
      </c>
      <c r="AJ38" s="4">
        <v>-21.497</v>
      </c>
      <c r="AK38" s="62">
        <v>4.6899999999999997E-2</v>
      </c>
      <c r="AL38" s="62">
        <v>8.9999999999999993E-3</v>
      </c>
      <c r="AM38" s="62">
        <v>-5.4999999999999997E-3</v>
      </c>
      <c r="AN38" s="62">
        <v>3.09E-2</v>
      </c>
      <c r="AO38" s="62">
        <v>4.4999999999999997E-3</v>
      </c>
      <c r="AP38" s="62">
        <v>-5.4999999999999997E-3</v>
      </c>
      <c r="AQ38" s="4">
        <v>3523.8834951456311</v>
      </c>
      <c r="AR38" s="4">
        <v>3868.8888888888891</v>
      </c>
      <c r="AS38" s="4">
        <v>3908.545454545455</v>
      </c>
      <c r="AT38" s="62">
        <v>0.1</v>
      </c>
      <c r="AU38" s="62">
        <v>7.0000000000000007E-2</v>
      </c>
      <c r="AV38" s="62">
        <v>0.19700000000000001</v>
      </c>
      <c r="AW38" s="62">
        <v>0.182</v>
      </c>
      <c r="AX38" s="30">
        <v>0.13420000000000001</v>
      </c>
      <c r="AY38" s="30">
        <v>0.1192</v>
      </c>
      <c r="AZ38" s="62">
        <v>0.14480000000000001</v>
      </c>
      <c r="BA38" s="62">
        <v>0.123</v>
      </c>
      <c r="BB38" s="46"/>
      <c r="BC38" s="46"/>
      <c r="BD38" s="32"/>
      <c r="BE38" s="46"/>
      <c r="BF38" s="46"/>
    </row>
    <row r="39" spans="1:58" x14ac:dyDescent="0.25">
      <c r="A39" s="3">
        <v>30</v>
      </c>
      <c r="B39" s="3">
        <v>392</v>
      </c>
      <c r="C39" s="33" t="str">
        <f>IF($J$1="ENG","Acordbank","Акордбанк")</f>
        <v>Акордбанк</v>
      </c>
      <c r="D39" s="3" t="str">
        <f>IF($J$1="ENG","Private banks","Банки з приватним капіталом")</f>
        <v>Банки з приватним капіталом</v>
      </c>
      <c r="E39" s="4">
        <v>272.303</v>
      </c>
      <c r="F39" s="4">
        <v>297.86700000000002</v>
      </c>
      <c r="G39" s="30">
        <v>0.12820000000000001</v>
      </c>
      <c r="H39" s="30">
        <v>0.1172</v>
      </c>
      <c r="I39" s="4">
        <v>2323.4044368600685</v>
      </c>
      <c r="J39" s="120" t="str">
        <f t="shared" si="0"/>
        <v>ні</v>
      </c>
      <c r="K39" s="4">
        <v>272.303</v>
      </c>
      <c r="L39" s="4">
        <v>297.245</v>
      </c>
      <c r="M39" s="30">
        <v>0.128</v>
      </c>
      <c r="N39" s="30">
        <v>0.1172</v>
      </c>
      <c r="O39" s="4">
        <v>2323.4044368600685</v>
      </c>
      <c r="P39" s="4">
        <v>299.15899999999999</v>
      </c>
      <c r="Q39" s="4">
        <v>366.673</v>
      </c>
      <c r="R39" s="4">
        <v>397.69</v>
      </c>
      <c r="S39" s="4">
        <v>299.15899999999999</v>
      </c>
      <c r="T39" s="4">
        <v>366.673</v>
      </c>
      <c r="U39" s="4">
        <v>397.69</v>
      </c>
      <c r="V39" s="30">
        <v>0.10929999999999999</v>
      </c>
      <c r="W39" s="30">
        <v>0.11799999999999999</v>
      </c>
      <c r="X39" s="30">
        <v>0.128</v>
      </c>
      <c r="Y39" s="30">
        <v>0.10929999999999999</v>
      </c>
      <c r="Z39" s="30">
        <v>0.11799999999999999</v>
      </c>
      <c r="AA39" s="30">
        <v>0.128</v>
      </c>
      <c r="AB39" s="4">
        <v>2737.0448307410797</v>
      </c>
      <c r="AC39" s="4">
        <v>3107.398305084746</v>
      </c>
      <c r="AD39" s="4">
        <v>3106.953125</v>
      </c>
      <c r="AE39" s="4">
        <v>110.886</v>
      </c>
      <c r="AF39" s="4">
        <v>13.945</v>
      </c>
      <c r="AG39" s="4">
        <v>-48.133000000000003</v>
      </c>
      <c r="AH39" s="4">
        <v>110.886</v>
      </c>
      <c r="AI39" s="4">
        <v>13.945</v>
      </c>
      <c r="AJ39" s="4">
        <v>-48.133000000000003</v>
      </c>
      <c r="AK39" s="62">
        <v>3.9800000000000002E-2</v>
      </c>
      <c r="AL39" s="62">
        <v>4.4000000000000003E-3</v>
      </c>
      <c r="AM39" s="62">
        <v>-1.5100000000000001E-2</v>
      </c>
      <c r="AN39" s="62">
        <v>3.9800000000000002E-2</v>
      </c>
      <c r="AO39" s="62">
        <v>4.4000000000000003E-3</v>
      </c>
      <c r="AP39" s="62">
        <v>-1.5100000000000001E-2</v>
      </c>
      <c r="AQ39" s="4">
        <v>2786.08040201005</v>
      </c>
      <c r="AR39" s="4">
        <v>3169.3181818181815</v>
      </c>
      <c r="AS39" s="4">
        <v>3187.6158940397349</v>
      </c>
      <c r="AT39" s="62">
        <v>0.1</v>
      </c>
      <c r="AU39" s="62">
        <v>7.0000000000000007E-2</v>
      </c>
      <c r="AV39" s="62">
        <v>0.19900000000000001</v>
      </c>
      <c r="AW39" s="62">
        <v>0.184</v>
      </c>
      <c r="AX39" s="30">
        <v>0.1095</v>
      </c>
      <c r="AY39" s="30">
        <v>9.4500000000000001E-2</v>
      </c>
      <c r="AZ39" s="62">
        <v>0.14580000000000001</v>
      </c>
      <c r="BA39" s="62">
        <v>0.1</v>
      </c>
      <c r="BB39" s="46"/>
      <c r="BC39" s="46"/>
      <c r="BD39" s="32"/>
      <c r="BE39" s="46"/>
      <c r="BF39" s="46"/>
    </row>
    <row r="40" spans="1:58" x14ac:dyDescent="0.25">
      <c r="E40" s="64"/>
      <c r="F40" s="6"/>
      <c r="G40" s="6"/>
    </row>
    <row r="41" spans="1:58" x14ac:dyDescent="0.25">
      <c r="A41" s="1" t="str">
        <f>IF($J$1="ENG","Note:","Примітки:")</f>
        <v>Примітки:</v>
      </c>
      <c r="D41" s="6"/>
      <c r="E41" s="64"/>
      <c r="F41" s="6"/>
      <c r="G41" s="6"/>
      <c r="H41" s="6"/>
      <c r="M41" s="6"/>
      <c r="N41" s="6"/>
      <c r="V41" s="6"/>
      <c r="W41" s="6"/>
      <c r="X41" s="6"/>
      <c r="Y41" s="6"/>
      <c r="Z41" s="6"/>
      <c r="AA41" s="6"/>
      <c r="AK41" s="6"/>
      <c r="AL41" s="6"/>
      <c r="AM41" s="6"/>
      <c r="AN41" s="6"/>
      <c r="AO41" s="6"/>
      <c r="AP41" s="6"/>
      <c r="AT41" s="6"/>
      <c r="AU41" s="6"/>
      <c r="AV41" s="6"/>
      <c r="AW41" s="6"/>
      <c r="AX41" s="6"/>
      <c r="AY41" s="6"/>
    </row>
    <row r="42" spans="1:58" x14ac:dyDescent="0.25">
      <c r="A42" s="1" t="str">
        <f>IF($J$1="ENG","Foreign banks do not include banks with state Russian capital.","Банки іноземних банківських груп не виключають банки із державним російським капіталом.")</f>
        <v>Банки іноземних банківських груп не виключають банки із державним російським капіталом.</v>
      </c>
      <c r="D42" s="6"/>
      <c r="E42" s="64"/>
      <c r="F42" s="6"/>
      <c r="G42" s="6"/>
      <c r="H42" s="6"/>
      <c r="M42" s="6"/>
      <c r="N42" s="6"/>
      <c r="V42" s="6"/>
      <c r="W42" s="6"/>
      <c r="X42" s="6"/>
      <c r="Y42" s="6"/>
      <c r="Z42" s="6"/>
      <c r="AA42" s="6"/>
      <c r="AK42" s="6"/>
      <c r="AL42" s="6"/>
      <c r="AM42" s="6"/>
      <c r="AN42" s="6"/>
      <c r="AO42" s="6"/>
      <c r="AP42" s="6"/>
      <c r="AT42" s="6"/>
      <c r="AU42" s="6"/>
      <c r="AV42" s="6"/>
      <c r="AW42" s="6"/>
      <c r="AX42" s="6"/>
      <c r="AY42" s="6"/>
    </row>
    <row r="43" spans="1:58" x14ac:dyDescent="0.25">
      <c r="A43" s="1" t="str">
        <f>IF($J$1="ENG","","ОК - основний капітал, РК - регулятивний капітал.")</f>
        <v>ОК - основний капітал, РК - регулятивний капітал.</v>
      </c>
      <c r="D43" s="6"/>
      <c r="E43" s="64"/>
      <c r="F43" s="6"/>
      <c r="G43" s="6"/>
      <c r="H43" s="6"/>
      <c r="M43" s="6"/>
      <c r="N43" s="6"/>
      <c r="V43" s="6"/>
      <c r="W43" s="6"/>
      <c r="X43" s="6"/>
      <c r="Y43" s="6"/>
      <c r="Z43" s="6"/>
      <c r="AA43" s="6"/>
      <c r="AK43" s="6"/>
      <c r="AL43" s="6"/>
      <c r="AM43" s="6"/>
      <c r="AN43" s="6"/>
      <c r="AO43" s="6"/>
      <c r="AP43" s="6"/>
      <c r="AT43" s="6"/>
      <c r="AU43" s="6"/>
      <c r="AV43" s="6"/>
      <c r="AW43" s="6"/>
      <c r="AX43" s="6"/>
      <c r="AY43" s="6"/>
    </row>
    <row r="44" spans="1:58" x14ac:dyDescent="0.25">
      <c r="A44" s="1" t="str">
        <f>IF($J$1="ENG","*Without taking into account the impact of market and credit risk of government securities","*В тому числі без урахування впливу ринкового та кредитного ризику за державними цінними паперами")</f>
        <v>*В тому числі без урахування впливу ринкового та кредитного ризику за державними цінними паперами</v>
      </c>
      <c r="D44" s="6"/>
      <c r="E44" s="64"/>
      <c r="F44" s="6"/>
      <c r="G44" s="6"/>
      <c r="H44" s="6"/>
      <c r="M44" s="6"/>
      <c r="N44" s="6"/>
      <c r="V44" s="6"/>
      <c r="W44" s="6"/>
      <c r="X44" s="6"/>
      <c r="Y44" s="6"/>
      <c r="Z44" s="6"/>
      <c r="AA44" s="6"/>
      <c r="AK44" s="6"/>
      <c r="AL44" s="6"/>
      <c r="AM44" s="6"/>
      <c r="AN44" s="6"/>
      <c r="AO44" s="6"/>
      <c r="AP44" s="6"/>
      <c r="AT44" s="6"/>
      <c r="AU44" s="6"/>
      <c r="AV44" s="6"/>
      <c r="AW44" s="6"/>
      <c r="AX44" s="6"/>
      <c r="AY44" s="6"/>
    </row>
    <row r="45" spans="1:58" x14ac:dyDescent="0.25">
      <c r="D45" s="6"/>
      <c r="E45" s="64"/>
      <c r="F45" s="6"/>
      <c r="G45" s="6"/>
      <c r="H45" s="117"/>
      <c r="M45" s="6"/>
      <c r="N45" s="6"/>
      <c r="V45" s="6"/>
      <c r="W45" s="6"/>
      <c r="X45" s="6"/>
      <c r="Y45" s="6"/>
      <c r="Z45" s="6"/>
      <c r="AA45" s="6"/>
      <c r="AK45" s="6"/>
      <c r="AL45" s="6"/>
      <c r="AM45" s="6"/>
      <c r="AN45" s="6"/>
      <c r="AO45" s="6"/>
      <c r="AP45" s="6"/>
      <c r="AT45" s="6"/>
      <c r="AU45" s="6"/>
      <c r="AV45" s="6"/>
      <c r="AW45" s="6"/>
      <c r="AX45" s="6"/>
      <c r="AY45" s="6"/>
    </row>
    <row r="46" spans="1:58" x14ac:dyDescent="0.25">
      <c r="A46" s="60" t="s">
        <v>5</v>
      </c>
      <c r="D46" s="6"/>
      <c r="E46" s="64"/>
      <c r="F46" s="6"/>
      <c r="G46" s="6"/>
      <c r="H46" s="6"/>
      <c r="M46" s="6"/>
      <c r="N46" s="6"/>
      <c r="V46" s="6"/>
      <c r="W46" s="6"/>
      <c r="X46" s="6"/>
      <c r="Y46" s="6"/>
      <c r="Z46" s="6"/>
      <c r="AA46" s="6"/>
      <c r="AK46" s="6"/>
      <c r="AL46" s="6"/>
      <c r="AM46" s="6"/>
      <c r="AN46" s="6"/>
      <c r="AO46" s="6"/>
      <c r="AP46" s="6"/>
      <c r="AT46" s="6"/>
      <c r="AU46" s="6"/>
      <c r="AV46" s="6"/>
      <c r="AW46" s="6"/>
      <c r="AX46" s="6"/>
      <c r="AY46" s="6"/>
    </row>
    <row r="47" spans="1:58" x14ac:dyDescent="0.25">
      <c r="A47" s="60" t="s">
        <v>3</v>
      </c>
      <c r="D47" s="6"/>
      <c r="E47" s="64"/>
      <c r="F47" s="6"/>
      <c r="G47" s="6"/>
      <c r="H47" s="6"/>
      <c r="M47" s="6"/>
      <c r="N47" s="6"/>
      <c r="V47" s="6"/>
      <c r="W47" s="6"/>
      <c r="X47" s="6"/>
      <c r="Y47" s="6"/>
      <c r="Z47" s="6"/>
      <c r="AA47" s="6"/>
      <c r="AK47" s="6"/>
      <c r="AL47" s="6"/>
      <c r="AM47" s="6"/>
      <c r="AN47" s="6"/>
      <c r="AO47" s="6"/>
      <c r="AP47" s="6"/>
      <c r="AT47" s="6"/>
      <c r="AU47" s="6"/>
      <c r="AV47" s="6"/>
      <c r="AW47" s="6"/>
      <c r="AX47" s="6"/>
      <c r="AY47" s="6"/>
    </row>
    <row r="48" spans="1:58" x14ac:dyDescent="0.25">
      <c r="D48" s="6"/>
      <c r="E48" s="64"/>
      <c r="F48" s="6"/>
      <c r="G48" s="6"/>
      <c r="H48" s="6"/>
      <c r="M48" s="6"/>
      <c r="N48" s="6"/>
      <c r="V48" s="6"/>
      <c r="W48" s="6"/>
      <c r="X48" s="6"/>
      <c r="Y48" s="6"/>
      <c r="Z48" s="6"/>
      <c r="AA48" s="6"/>
      <c r="AK48" s="6"/>
      <c r="AL48" s="6"/>
      <c r="AM48" s="6"/>
      <c r="AN48" s="6"/>
      <c r="AO48" s="6"/>
      <c r="AP48" s="6"/>
      <c r="AT48" s="6"/>
      <c r="AU48" s="6"/>
      <c r="AV48" s="6"/>
      <c r="AW48" s="6"/>
      <c r="AX48" s="6"/>
      <c r="AY48" s="6"/>
    </row>
    <row r="49" spans="5:51" x14ac:dyDescent="0.25">
      <c r="E49" s="64"/>
      <c r="F49" s="6"/>
      <c r="G49" s="6"/>
      <c r="H49" s="6"/>
      <c r="M49" s="6"/>
      <c r="N49" s="6"/>
      <c r="V49" s="6"/>
      <c r="W49" s="6"/>
      <c r="X49" s="6"/>
      <c r="Y49" s="6"/>
      <c r="Z49" s="6"/>
      <c r="AA49" s="6"/>
      <c r="AK49" s="6"/>
      <c r="AL49" s="6"/>
      <c r="AM49" s="6"/>
      <c r="AN49" s="6"/>
      <c r="AO49" s="6"/>
      <c r="AP49" s="6"/>
      <c r="AT49" s="6"/>
      <c r="AU49" s="6"/>
      <c r="AV49" s="6"/>
      <c r="AW49" s="6"/>
      <c r="AX49" s="6"/>
      <c r="AY49" s="6"/>
    </row>
    <row r="50" spans="5:51" x14ac:dyDescent="0.25">
      <c r="E50" s="64"/>
      <c r="F50" s="6"/>
      <c r="G50" s="6"/>
      <c r="H50" s="6"/>
      <c r="M50" s="6"/>
      <c r="N50" s="6"/>
      <c r="V50" s="6"/>
      <c r="W50" s="6"/>
      <c r="X50" s="6"/>
      <c r="Y50" s="6"/>
      <c r="Z50" s="6"/>
      <c r="AA50" s="6"/>
      <c r="AK50" s="6"/>
      <c r="AL50" s="6"/>
      <c r="AM50" s="6"/>
      <c r="AN50" s="6"/>
      <c r="AO50" s="6"/>
      <c r="AP50" s="6"/>
      <c r="AT50" s="6"/>
      <c r="AU50" s="6"/>
      <c r="AV50" s="6"/>
      <c r="AW50" s="6"/>
      <c r="AX50" s="6"/>
      <c r="AY50" s="6"/>
    </row>
    <row r="51" spans="5:51" x14ac:dyDescent="0.25">
      <c r="E51" s="64"/>
      <c r="F51" s="6"/>
      <c r="G51" s="6"/>
      <c r="H51" s="6"/>
      <c r="M51" s="6"/>
      <c r="N51" s="6"/>
      <c r="V51" s="6"/>
      <c r="W51" s="6"/>
      <c r="X51" s="6"/>
      <c r="Y51" s="6"/>
      <c r="Z51" s="6"/>
      <c r="AA51" s="6"/>
      <c r="AK51" s="6"/>
      <c r="AL51" s="6"/>
      <c r="AM51" s="6"/>
      <c r="AN51" s="6"/>
      <c r="AO51" s="6"/>
      <c r="AP51" s="6"/>
      <c r="AT51" s="6"/>
      <c r="AU51" s="6"/>
      <c r="AV51" s="6"/>
      <c r="AW51" s="6"/>
      <c r="AX51" s="6"/>
      <c r="AY51" s="6"/>
    </row>
    <row r="52" spans="5:51" x14ac:dyDescent="0.25">
      <c r="E52" s="64"/>
      <c r="F52" s="6"/>
      <c r="G52" s="6"/>
      <c r="H52" s="6"/>
      <c r="M52" s="6"/>
      <c r="N52" s="6"/>
      <c r="V52" s="6"/>
      <c r="W52" s="6"/>
      <c r="X52" s="6"/>
      <c r="Y52" s="6"/>
      <c r="Z52" s="6"/>
      <c r="AA52" s="6"/>
      <c r="AK52" s="6"/>
      <c r="AL52" s="6"/>
      <c r="AM52" s="6"/>
      <c r="AN52" s="6"/>
      <c r="AO52" s="6"/>
      <c r="AP52" s="6"/>
      <c r="AT52" s="6"/>
      <c r="AU52" s="6"/>
      <c r="AV52" s="6"/>
      <c r="AW52" s="6"/>
      <c r="AX52" s="6"/>
      <c r="AY52" s="6"/>
    </row>
    <row r="53" spans="5:51" x14ac:dyDescent="0.25">
      <c r="E53" s="64"/>
      <c r="F53" s="6"/>
      <c r="G53" s="6"/>
      <c r="H53" s="6"/>
      <c r="M53" s="6"/>
      <c r="N53" s="6"/>
      <c r="V53" s="6"/>
      <c r="W53" s="6"/>
      <c r="X53" s="6"/>
      <c r="Y53" s="6"/>
      <c r="Z53" s="6"/>
      <c r="AA53" s="6"/>
      <c r="AK53" s="6"/>
      <c r="AL53" s="6"/>
      <c r="AM53" s="6"/>
      <c r="AN53" s="6"/>
      <c r="AO53" s="6"/>
      <c r="AP53" s="6"/>
      <c r="AT53" s="6"/>
      <c r="AU53" s="6"/>
      <c r="AV53" s="6"/>
      <c r="AW53" s="6"/>
      <c r="AX53" s="6"/>
      <c r="AY53" s="6"/>
    </row>
    <row r="54" spans="5:51" x14ac:dyDescent="0.25">
      <c r="E54" s="64"/>
      <c r="F54" s="6"/>
      <c r="G54" s="6"/>
      <c r="H54" s="6"/>
      <c r="M54" s="6"/>
      <c r="N54" s="6"/>
      <c r="V54" s="6"/>
      <c r="W54" s="6"/>
      <c r="X54" s="6"/>
      <c r="Y54" s="6"/>
      <c r="Z54" s="6"/>
      <c r="AA54" s="6"/>
      <c r="AK54" s="6"/>
      <c r="AL54" s="6"/>
      <c r="AM54" s="6"/>
      <c r="AN54" s="6"/>
      <c r="AO54" s="6"/>
      <c r="AP54" s="6"/>
      <c r="AT54" s="6"/>
      <c r="AU54" s="6"/>
      <c r="AV54" s="6"/>
      <c r="AW54" s="6"/>
      <c r="AX54" s="6"/>
      <c r="AY54" s="6"/>
    </row>
    <row r="55" spans="5:51" x14ac:dyDescent="0.25">
      <c r="E55" s="64"/>
      <c r="F55" s="6"/>
      <c r="G55" s="6"/>
      <c r="H55" s="6"/>
      <c r="M55" s="6"/>
      <c r="N55" s="6"/>
      <c r="V55" s="6"/>
      <c r="W55" s="6"/>
      <c r="X55" s="6"/>
      <c r="Y55" s="6"/>
      <c r="Z55" s="6"/>
      <c r="AA55" s="6"/>
      <c r="AK55" s="6"/>
      <c r="AL55" s="6"/>
      <c r="AM55" s="6"/>
      <c r="AN55" s="6"/>
      <c r="AO55" s="6"/>
      <c r="AP55" s="6"/>
      <c r="AT55" s="6"/>
      <c r="AU55" s="6"/>
      <c r="AV55" s="6"/>
      <c r="AW55" s="6"/>
      <c r="AX55" s="6"/>
      <c r="AY55" s="6"/>
    </row>
    <row r="56" spans="5:51" x14ac:dyDescent="0.25">
      <c r="E56" s="64"/>
      <c r="F56" s="6"/>
      <c r="G56" s="6"/>
      <c r="H56" s="6"/>
      <c r="M56" s="6"/>
      <c r="N56" s="6"/>
      <c r="V56" s="6"/>
      <c r="W56" s="6"/>
      <c r="X56" s="6"/>
      <c r="Y56" s="6"/>
      <c r="Z56" s="6"/>
      <c r="AA56" s="6"/>
      <c r="AK56" s="6"/>
      <c r="AL56" s="6"/>
      <c r="AM56" s="6"/>
      <c r="AN56" s="6"/>
      <c r="AO56" s="6"/>
      <c r="AP56" s="6"/>
      <c r="AT56" s="6"/>
      <c r="AU56" s="6"/>
      <c r="AV56" s="6"/>
      <c r="AW56" s="6"/>
      <c r="AX56" s="6"/>
      <c r="AY56" s="6"/>
    </row>
    <row r="57" spans="5:51" x14ac:dyDescent="0.25">
      <c r="E57" s="6"/>
      <c r="F57" s="6"/>
      <c r="G57" s="6"/>
      <c r="H57" s="6"/>
      <c r="M57" s="6"/>
      <c r="N57" s="6"/>
      <c r="V57" s="6"/>
      <c r="W57" s="6"/>
      <c r="X57" s="6"/>
      <c r="Y57" s="6"/>
      <c r="Z57" s="6"/>
      <c r="AA57" s="6"/>
      <c r="AK57" s="6"/>
      <c r="AL57" s="6"/>
      <c r="AM57" s="6"/>
      <c r="AN57" s="6"/>
      <c r="AO57" s="6"/>
      <c r="AP57" s="6"/>
      <c r="AT57" s="6"/>
      <c r="AU57" s="6"/>
      <c r="AV57" s="6"/>
      <c r="AW57" s="6"/>
      <c r="AX57" s="6"/>
      <c r="AY57" s="6"/>
    </row>
    <row r="58" spans="5:51" x14ac:dyDescent="0.25">
      <c r="E58" s="6"/>
      <c r="F58" s="6"/>
      <c r="G58" s="6"/>
      <c r="H58" s="6"/>
      <c r="M58" s="6"/>
      <c r="N58" s="6"/>
      <c r="V58" s="6"/>
      <c r="W58" s="6"/>
      <c r="X58" s="6"/>
      <c r="Y58" s="6"/>
      <c r="Z58" s="6"/>
      <c r="AA58" s="6"/>
      <c r="AK58" s="6"/>
      <c r="AL58" s="6"/>
      <c r="AM58" s="6"/>
      <c r="AN58" s="6"/>
      <c r="AO58" s="6"/>
      <c r="AP58" s="6"/>
      <c r="AT58" s="6"/>
      <c r="AU58" s="6"/>
      <c r="AV58" s="6"/>
      <c r="AW58" s="6"/>
      <c r="AX58" s="6"/>
      <c r="AY58" s="6"/>
    </row>
    <row r="59" spans="5:51" x14ac:dyDescent="0.25">
      <c r="E59" s="6"/>
      <c r="F59" s="6"/>
      <c r="G59" s="6"/>
      <c r="H59" s="6"/>
      <c r="M59" s="6"/>
      <c r="N59" s="6"/>
      <c r="V59" s="6"/>
      <c r="W59" s="6"/>
      <c r="X59" s="6"/>
      <c r="Y59" s="6"/>
      <c r="Z59" s="6"/>
      <c r="AA59" s="6"/>
      <c r="AK59" s="6"/>
      <c r="AL59" s="6"/>
      <c r="AM59" s="6"/>
      <c r="AN59" s="6"/>
      <c r="AO59" s="6"/>
      <c r="AP59" s="6"/>
      <c r="AT59" s="6"/>
      <c r="AU59" s="6"/>
      <c r="AV59" s="6"/>
      <c r="AW59" s="6"/>
      <c r="AX59" s="6"/>
      <c r="AY59" s="6"/>
    </row>
    <row r="60" spans="5:51" x14ac:dyDescent="0.25">
      <c r="E60" s="6"/>
      <c r="F60" s="6"/>
      <c r="G60" s="6"/>
      <c r="H60" s="6"/>
      <c r="M60" s="6"/>
      <c r="N60" s="6"/>
      <c r="V60" s="6"/>
      <c r="W60" s="6"/>
      <c r="X60" s="6"/>
      <c r="Y60" s="6"/>
      <c r="Z60" s="6"/>
      <c r="AA60" s="6"/>
      <c r="AK60" s="6"/>
      <c r="AL60" s="6"/>
      <c r="AM60" s="6"/>
      <c r="AN60" s="6"/>
      <c r="AO60" s="6"/>
      <c r="AP60" s="6"/>
      <c r="AT60" s="6"/>
      <c r="AU60" s="6"/>
      <c r="AV60" s="6"/>
      <c r="AW60" s="6"/>
      <c r="AX60" s="6"/>
      <c r="AY60" s="6"/>
    </row>
    <row r="61" spans="5:51" x14ac:dyDescent="0.25">
      <c r="G61" s="6"/>
      <c r="H61" s="6"/>
      <c r="M61" s="6"/>
      <c r="N61" s="6"/>
      <c r="V61" s="6"/>
      <c r="W61" s="6"/>
      <c r="X61" s="6"/>
      <c r="Y61" s="6"/>
      <c r="Z61" s="6"/>
      <c r="AA61" s="6"/>
      <c r="AK61" s="6"/>
      <c r="AL61" s="6"/>
      <c r="AM61" s="6"/>
      <c r="AN61" s="6"/>
      <c r="AO61" s="6"/>
      <c r="AP61" s="6"/>
      <c r="AT61" s="6"/>
      <c r="AU61" s="6"/>
      <c r="AV61" s="6"/>
      <c r="AW61" s="6"/>
      <c r="AX61" s="6"/>
      <c r="AY61" s="6"/>
    </row>
    <row r="62" spans="5:51" x14ac:dyDescent="0.25">
      <c r="G62" s="6"/>
      <c r="H62" s="6"/>
      <c r="M62" s="6"/>
      <c r="N62" s="6"/>
      <c r="V62" s="6"/>
      <c r="W62" s="6"/>
      <c r="X62" s="6"/>
      <c r="Y62" s="6"/>
      <c r="Z62" s="6"/>
      <c r="AA62" s="6"/>
      <c r="AK62" s="6"/>
      <c r="AL62" s="6"/>
      <c r="AM62" s="6"/>
      <c r="AN62" s="6"/>
      <c r="AO62" s="6"/>
      <c r="AP62" s="6"/>
      <c r="AT62" s="6"/>
      <c r="AU62" s="6"/>
      <c r="AV62" s="6"/>
      <c r="AW62" s="6"/>
      <c r="AX62" s="6"/>
      <c r="AY62" s="6"/>
    </row>
    <row r="63" spans="5:51" x14ac:dyDescent="0.25">
      <c r="G63" s="6"/>
      <c r="H63" s="6"/>
      <c r="M63" s="6"/>
      <c r="N63" s="6"/>
      <c r="V63" s="6"/>
      <c r="W63" s="6"/>
      <c r="X63" s="6"/>
      <c r="Y63" s="6"/>
      <c r="Z63" s="6"/>
      <c r="AA63" s="6"/>
      <c r="AK63" s="6"/>
      <c r="AL63" s="6"/>
      <c r="AM63" s="6"/>
      <c r="AN63" s="6"/>
      <c r="AO63" s="6"/>
      <c r="AP63" s="6"/>
      <c r="AT63" s="6"/>
      <c r="AU63" s="6"/>
      <c r="AV63" s="6"/>
      <c r="AW63" s="6"/>
      <c r="AX63" s="6"/>
      <c r="AY63" s="6"/>
    </row>
    <row r="64" spans="5:51" x14ac:dyDescent="0.25">
      <c r="G64" s="6"/>
      <c r="H64" s="6"/>
      <c r="M64" s="6"/>
      <c r="N64" s="6"/>
      <c r="V64" s="6"/>
      <c r="W64" s="6"/>
      <c r="X64" s="6"/>
      <c r="Y64" s="6"/>
      <c r="Z64" s="6"/>
      <c r="AA64" s="6"/>
      <c r="AK64" s="6"/>
      <c r="AL64" s="6"/>
      <c r="AM64" s="6"/>
      <c r="AN64" s="6"/>
      <c r="AO64" s="6"/>
      <c r="AP64" s="6"/>
      <c r="AT64" s="6"/>
      <c r="AU64" s="6"/>
      <c r="AV64" s="6"/>
      <c r="AW64" s="6"/>
      <c r="AX64" s="6"/>
      <c r="AY64" s="6"/>
    </row>
    <row r="65" spans="7:51" x14ac:dyDescent="0.25">
      <c r="G65" s="6"/>
      <c r="H65" s="6"/>
      <c r="M65" s="6"/>
      <c r="N65" s="6"/>
      <c r="V65" s="6"/>
      <c r="W65" s="6"/>
      <c r="X65" s="6"/>
      <c r="Y65" s="6"/>
      <c r="Z65" s="6"/>
      <c r="AA65" s="6"/>
      <c r="AK65" s="6"/>
      <c r="AL65" s="6"/>
      <c r="AM65" s="6"/>
      <c r="AN65" s="6"/>
      <c r="AO65" s="6"/>
      <c r="AP65" s="6"/>
      <c r="AT65" s="6"/>
      <c r="AU65" s="6"/>
      <c r="AV65" s="6"/>
      <c r="AW65" s="6"/>
      <c r="AX65" s="6"/>
      <c r="AY65" s="6"/>
    </row>
    <row r="66" spans="7:51" x14ac:dyDescent="0.25">
      <c r="G66" s="6"/>
      <c r="H66" s="6"/>
      <c r="M66" s="6"/>
      <c r="N66" s="6"/>
      <c r="V66" s="6"/>
      <c r="W66" s="6"/>
      <c r="X66" s="6"/>
      <c r="Y66" s="6"/>
      <c r="Z66" s="6"/>
      <c r="AA66" s="6"/>
      <c r="AK66" s="6"/>
      <c r="AL66" s="6"/>
      <c r="AM66" s="6"/>
      <c r="AN66" s="6"/>
      <c r="AO66" s="6"/>
      <c r="AP66" s="6"/>
      <c r="AT66" s="6"/>
      <c r="AU66" s="6"/>
      <c r="AV66" s="6"/>
      <c r="AW66" s="6"/>
      <c r="AX66" s="6"/>
      <c r="AY66" s="6"/>
    </row>
    <row r="67" spans="7:51" x14ac:dyDescent="0.25">
      <c r="G67" s="6"/>
      <c r="H67" s="6"/>
      <c r="M67" s="6"/>
      <c r="N67" s="6"/>
      <c r="V67" s="6"/>
      <c r="W67" s="6"/>
      <c r="X67" s="6"/>
      <c r="Y67" s="6"/>
      <c r="Z67" s="6"/>
      <c r="AA67" s="6"/>
      <c r="AK67" s="6"/>
      <c r="AL67" s="6"/>
      <c r="AM67" s="6"/>
      <c r="AN67" s="6"/>
      <c r="AO67" s="6"/>
      <c r="AP67" s="6"/>
      <c r="AT67" s="6"/>
      <c r="AU67" s="6"/>
      <c r="AV67" s="6"/>
      <c r="AW67" s="6"/>
      <c r="AX67" s="6"/>
      <c r="AY67" s="6"/>
    </row>
    <row r="68" spans="7:51" x14ac:dyDescent="0.25">
      <c r="G68" s="6"/>
      <c r="H68" s="6"/>
      <c r="M68" s="6"/>
      <c r="N68" s="6"/>
      <c r="V68" s="6"/>
      <c r="W68" s="6"/>
      <c r="X68" s="6"/>
      <c r="Y68" s="6"/>
      <c r="Z68" s="6"/>
      <c r="AA68" s="6"/>
      <c r="AK68" s="6"/>
      <c r="AL68" s="6"/>
      <c r="AM68" s="6"/>
      <c r="AN68" s="6"/>
      <c r="AO68" s="6"/>
      <c r="AP68" s="6"/>
      <c r="AT68" s="6"/>
      <c r="AU68" s="6"/>
      <c r="AV68" s="6"/>
      <c r="AW68" s="6"/>
      <c r="AX68" s="6"/>
      <c r="AY68" s="6"/>
    </row>
    <row r="69" spans="7:51" x14ac:dyDescent="0.25">
      <c r="G69" s="6"/>
      <c r="H69" s="6"/>
      <c r="M69" s="6"/>
      <c r="N69" s="6"/>
      <c r="V69" s="6"/>
      <c r="W69" s="6"/>
      <c r="X69" s="6"/>
      <c r="Y69" s="6"/>
      <c r="Z69" s="6"/>
      <c r="AA69" s="6"/>
      <c r="AK69" s="6"/>
      <c r="AL69" s="6"/>
      <c r="AM69" s="6"/>
      <c r="AN69" s="6"/>
      <c r="AO69" s="6"/>
      <c r="AP69" s="6"/>
      <c r="AT69" s="6"/>
      <c r="AU69" s="6"/>
      <c r="AV69" s="6"/>
      <c r="AW69" s="6"/>
      <c r="AX69" s="6"/>
      <c r="AY69" s="6"/>
    </row>
    <row r="70" spans="7:51" x14ac:dyDescent="0.25">
      <c r="G70" s="6"/>
      <c r="H70" s="6"/>
      <c r="M70" s="6"/>
      <c r="N70" s="6"/>
      <c r="V70" s="6"/>
      <c r="W70" s="6"/>
      <c r="X70" s="6"/>
      <c r="Y70" s="6"/>
      <c r="Z70" s="6"/>
      <c r="AA70" s="6"/>
      <c r="AK70" s="6"/>
      <c r="AL70" s="6"/>
      <c r="AM70" s="6"/>
      <c r="AN70" s="6"/>
      <c r="AO70" s="6"/>
      <c r="AP70" s="6"/>
      <c r="AT70" s="6"/>
      <c r="AU70" s="6"/>
      <c r="AV70" s="6"/>
      <c r="AW70" s="6"/>
      <c r="AX70" s="6"/>
      <c r="AY70" s="6"/>
    </row>
    <row r="71" spans="7:51" x14ac:dyDescent="0.25">
      <c r="H71" s="6"/>
      <c r="AV71" s="116"/>
      <c r="AW71" s="116"/>
      <c r="AX71" s="116"/>
      <c r="AY71" s="116"/>
    </row>
    <row r="72" spans="7:51" x14ac:dyDescent="0.25">
      <c r="AV72" s="116"/>
      <c r="AW72" s="116"/>
      <c r="AX72" s="116"/>
      <c r="AY72" s="116"/>
    </row>
    <row r="73" spans="7:51" x14ac:dyDescent="0.25">
      <c r="AV73" s="116"/>
      <c r="AW73" s="116"/>
      <c r="AX73" s="116"/>
      <c r="AY73" s="116"/>
    </row>
    <row r="74" spans="7:51" x14ac:dyDescent="0.25">
      <c r="AV74" s="116"/>
      <c r="AW74" s="116"/>
      <c r="AX74" s="116"/>
      <c r="AY74" s="116"/>
    </row>
  </sheetData>
  <sheetProtection password="CC27" sheet="1" objects="1" scenarios="1"/>
  <mergeCells count="44">
    <mergeCell ref="AZ4:BA6"/>
    <mergeCell ref="AV7:AV8"/>
    <mergeCell ref="AX7:AX8"/>
    <mergeCell ref="AW7:AW8"/>
    <mergeCell ref="AY7:AY8"/>
    <mergeCell ref="AV6:AW6"/>
    <mergeCell ref="AZ7:AZ8"/>
    <mergeCell ref="BA7:BA8"/>
    <mergeCell ref="AV4:AY5"/>
    <mergeCell ref="AX6:AY6"/>
    <mergeCell ref="A4:A8"/>
    <mergeCell ref="B4:B8"/>
    <mergeCell ref="C4:C8"/>
    <mergeCell ref="P8:R8"/>
    <mergeCell ref="P6:R6"/>
    <mergeCell ref="S6:U6"/>
    <mergeCell ref="V6:X6"/>
    <mergeCell ref="Y6:AA6"/>
    <mergeCell ref="S8:U8"/>
    <mergeCell ref="V8:X8"/>
    <mergeCell ref="Y8:AA8"/>
    <mergeCell ref="AE8:AG8"/>
    <mergeCell ref="AB8:AD8"/>
    <mergeCell ref="AQ8:AS8"/>
    <mergeCell ref="D4:D8"/>
    <mergeCell ref="E4:I5"/>
    <mergeCell ref="J4:O5"/>
    <mergeCell ref="E7:I8"/>
    <mergeCell ref="J7:O8"/>
    <mergeCell ref="P4:AD5"/>
    <mergeCell ref="AE4:AS5"/>
    <mergeCell ref="AB6:AD6"/>
    <mergeCell ref="AE6:AG6"/>
    <mergeCell ref="AK6:AM6"/>
    <mergeCell ref="AH6:AJ6"/>
    <mergeCell ref="AQ6:AS6"/>
    <mergeCell ref="AN6:AP6"/>
    <mergeCell ref="AT4:AU5"/>
    <mergeCell ref="AH8:AJ8"/>
    <mergeCell ref="AK8:AM8"/>
    <mergeCell ref="AN8:AP8"/>
    <mergeCell ref="AT6:AU6"/>
    <mergeCell ref="AT7:AT8"/>
    <mergeCell ref="AU7:AU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8</xdr:col>
                    <xdr:colOff>1485900</xdr:colOff>
                    <xdr:row>0</xdr:row>
                    <xdr:rowOff>0</xdr:rowOff>
                  </from>
                  <to>
                    <xdr:col>10</xdr:col>
                    <xdr:colOff>99060</xdr:colOff>
                    <xdr:row>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Individual banks</vt:lpstr>
      <vt:lpstr>Comparison with 2021</vt:lpstr>
      <vt:lpstr>Comparison of banks</vt:lpstr>
      <vt:lpstr>Comparison with group</vt:lpstr>
      <vt:lpstr>Capital need</vt:lpstr>
      <vt:lpstr>Data table</vt:lpstr>
      <vt:lpstr>2021 data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2024-01-09T09:47:16Z</dcterms:modified>
</cp:coreProperties>
</file>