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harts/chart13.xml" ContentType="application/vnd.openxmlformats-officedocument.drawingml.chart+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harts/chart17.xml" ContentType="application/vnd.openxmlformats-officedocument.drawingml.chart+xml"/>
  <Override PartName="/xl/charts/style4.xml" ContentType="application/vnd.ms-office.chartstyle+xml"/>
  <Override PartName="/xl/charts/colors4.xml" ContentType="application/vnd.ms-office.chartcolorstyle+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00"/>
  </bookViews>
  <sheets>
    <sheet name="Individual banks" sheetId="7" r:id="rId1"/>
    <sheet name="Comparison with 2018" sheetId="24" r:id="rId2"/>
    <sheet name="Comparison with group" sheetId="11" r:id="rId3"/>
    <sheet name="Comparison of banks" sheetId="14" r:id="rId4"/>
    <sheet name="Capital need" sheetId="15" r:id="rId5"/>
    <sheet name="Data table" sheetId="6" r:id="rId6"/>
    <sheet name="Data table 2018" sheetId="19" r:id="rId7"/>
    <sheet name="ST results (eng)" sheetId="3" state="hidden" r:id="rId8"/>
    <sheet name="List" sheetId="1" state="hidden" r:id="rId9"/>
  </sheets>
  <externalReferences>
    <externalReference r:id="rId10"/>
  </externalReferences>
  <definedNames>
    <definedName name="_xlnm._FilterDatabase" localSheetId="5" hidden="1">'Data table'!$A$9:$BE$9</definedName>
    <definedName name="_xlnm._FilterDatabase" localSheetId="6" hidden="1">'Data table 2018'!$A$9:$AX$9</definedName>
    <definedName name="LANG">[1]intro!$C$6</definedName>
    <definedName name="_xlnm.Print_Titles" localSheetId="7">'ST results (eng)'!$E:$E</definedName>
    <definedName name="_xlnm.Print_Area" localSheetId="7">'ST results (eng)'!$E$12:$AR$44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3" i="19" l="1"/>
  <c r="AR33" i="19"/>
  <c r="AQ33" i="19"/>
  <c r="AD33" i="19"/>
  <c r="AC33" i="19"/>
  <c r="AB33" i="19"/>
  <c r="O33" i="19"/>
  <c r="I33" i="19"/>
  <c r="AS32" i="19"/>
  <c r="AR32" i="19"/>
  <c r="AQ32" i="19"/>
  <c r="AD32" i="19"/>
  <c r="AC32" i="19"/>
  <c r="AB32" i="19"/>
  <c r="O32" i="19"/>
  <c r="I32" i="19"/>
  <c r="AS31" i="19"/>
  <c r="AR31" i="19"/>
  <c r="AQ31" i="19"/>
  <c r="AD31" i="19"/>
  <c r="AC31" i="19"/>
  <c r="AB31" i="19"/>
  <c r="O31" i="19"/>
  <c r="I31" i="19"/>
  <c r="AS30" i="19"/>
  <c r="AR30" i="19"/>
  <c r="AQ30" i="19"/>
  <c r="AD30" i="19"/>
  <c r="AC30" i="19"/>
  <c r="AB30" i="19"/>
  <c r="O30" i="19"/>
  <c r="I30" i="19"/>
  <c r="AS29" i="19"/>
  <c r="AR29" i="19"/>
  <c r="AQ29" i="19"/>
  <c r="AD29" i="19"/>
  <c r="AC29" i="19"/>
  <c r="AB29" i="19"/>
  <c r="O29" i="19"/>
  <c r="I29" i="19"/>
  <c r="AS28" i="19"/>
  <c r="AR28" i="19"/>
  <c r="AQ28" i="19"/>
  <c r="AD28" i="19"/>
  <c r="AC28" i="19"/>
  <c r="AB28" i="19"/>
  <c r="O28" i="19"/>
  <c r="I28" i="19"/>
  <c r="AS27" i="19"/>
  <c r="AR27" i="19"/>
  <c r="AQ27" i="19"/>
  <c r="AD27" i="19"/>
  <c r="AC27" i="19"/>
  <c r="AB27" i="19"/>
  <c r="O27" i="19"/>
  <c r="I27" i="19"/>
  <c r="AS26" i="19"/>
  <c r="AR26" i="19"/>
  <c r="AQ26" i="19"/>
  <c r="AD26" i="19"/>
  <c r="AC26" i="19"/>
  <c r="AB26" i="19"/>
  <c r="O26" i="19"/>
  <c r="I26" i="19"/>
  <c r="AS25" i="19"/>
  <c r="AR25" i="19"/>
  <c r="AQ25" i="19"/>
  <c r="AD25" i="19"/>
  <c r="AC25" i="19"/>
  <c r="AB25" i="19"/>
  <c r="O25" i="19"/>
  <c r="I25" i="19"/>
  <c r="AS24" i="19"/>
  <c r="AR24" i="19"/>
  <c r="AQ24" i="19"/>
  <c r="AD24" i="19"/>
  <c r="AC24" i="19"/>
  <c r="AB24" i="19"/>
  <c r="O24" i="19"/>
  <c r="I24" i="19"/>
  <c r="AS23" i="19"/>
  <c r="AR23" i="19"/>
  <c r="AQ23" i="19"/>
  <c r="AD23" i="19"/>
  <c r="AC23" i="19"/>
  <c r="AB23" i="19"/>
  <c r="O23" i="19"/>
  <c r="I23" i="19"/>
  <c r="AS22" i="19"/>
  <c r="AR22" i="19"/>
  <c r="AQ22" i="19"/>
  <c r="AD22" i="19"/>
  <c r="AC22" i="19"/>
  <c r="AB22" i="19"/>
  <c r="O22" i="19"/>
  <c r="I22" i="19"/>
  <c r="AS21" i="19"/>
  <c r="AR21" i="19"/>
  <c r="AQ21" i="19"/>
  <c r="AD21" i="19"/>
  <c r="AC21" i="19"/>
  <c r="AB21" i="19"/>
  <c r="O21" i="19"/>
  <c r="I21" i="19"/>
  <c r="AS20" i="19"/>
  <c r="AR20" i="19"/>
  <c r="AQ20" i="19"/>
  <c r="AD20" i="19"/>
  <c r="AC20" i="19"/>
  <c r="AB20" i="19"/>
  <c r="O20" i="19"/>
  <c r="I20" i="19"/>
  <c r="AS19" i="19"/>
  <c r="AR19" i="19"/>
  <c r="AQ19" i="19"/>
  <c r="AD19" i="19"/>
  <c r="AC19" i="19"/>
  <c r="AB19" i="19"/>
  <c r="O19" i="19"/>
  <c r="I19" i="19"/>
  <c r="AS18" i="19"/>
  <c r="AR18" i="19"/>
  <c r="AQ18" i="19"/>
  <c r="AD18" i="19"/>
  <c r="AC18" i="19"/>
  <c r="AB18" i="19"/>
  <c r="O18" i="19"/>
  <c r="I18" i="19"/>
  <c r="AS17" i="19"/>
  <c r="AR17" i="19"/>
  <c r="AQ17" i="19"/>
  <c r="AD17" i="19"/>
  <c r="AC17" i="19"/>
  <c r="AB17" i="19"/>
  <c r="O17" i="19"/>
  <c r="I17" i="19"/>
  <c r="AS16" i="19"/>
  <c r="AR16" i="19"/>
  <c r="AQ16" i="19"/>
  <c r="AD16" i="19"/>
  <c r="AC16" i="19"/>
  <c r="AB16" i="19"/>
  <c r="O16" i="19"/>
  <c r="I16" i="19"/>
  <c r="AS15" i="19"/>
  <c r="AR15" i="19"/>
  <c r="AQ15" i="19"/>
  <c r="AD15" i="19"/>
  <c r="AC15" i="19"/>
  <c r="AB15" i="19"/>
  <c r="O15" i="19"/>
  <c r="I15" i="19"/>
  <c r="AS14" i="19"/>
  <c r="AR14" i="19"/>
  <c r="AQ14" i="19"/>
  <c r="AD14" i="19"/>
  <c r="AC14" i="19"/>
  <c r="AB14" i="19"/>
  <c r="O14" i="19"/>
  <c r="I14" i="19"/>
  <c r="AS13" i="19"/>
  <c r="AR13" i="19"/>
  <c r="AQ13" i="19"/>
  <c r="AD13" i="19"/>
  <c r="AC13" i="19"/>
  <c r="AB13" i="19"/>
  <c r="O13" i="19"/>
  <c r="I13" i="19"/>
  <c r="AS12" i="19"/>
  <c r="AR12" i="19"/>
  <c r="AQ12" i="19"/>
  <c r="AD12" i="19"/>
  <c r="AC12" i="19"/>
  <c r="AB12" i="19"/>
  <c r="O12" i="19"/>
  <c r="I12" i="19"/>
  <c r="AS11" i="19"/>
  <c r="AR11" i="19"/>
  <c r="AQ11" i="19"/>
  <c r="AD11" i="19"/>
  <c r="AC11" i="19"/>
  <c r="AB11" i="19"/>
  <c r="O11" i="19"/>
  <c r="I11" i="19"/>
  <c r="AS10" i="19"/>
  <c r="AR10" i="19"/>
  <c r="AQ10" i="19"/>
  <c r="AD10" i="19"/>
  <c r="AC10" i="19"/>
  <c r="AB10" i="19"/>
  <c r="O10" i="19"/>
  <c r="I10" i="19"/>
  <c r="K1" i="7" l="1"/>
  <c r="N12" i="7"/>
  <c r="D4" i="7" l="1"/>
  <c r="B8" i="24" s="1"/>
  <c r="C4" i="7"/>
  <c r="B13" i="7"/>
  <c r="B34" i="7"/>
  <c r="B33" i="7"/>
  <c r="B11" i="7"/>
  <c r="O5" i="11" s="1"/>
  <c r="B2" i="7"/>
  <c r="B12" i="7"/>
  <c r="G16" i="7" s="1"/>
  <c r="K4" i="7"/>
  <c r="K1" i="24"/>
  <c r="B7" i="24"/>
  <c r="B14" i="7"/>
  <c r="J1" i="19"/>
  <c r="L1" i="7"/>
  <c r="C16" i="7"/>
  <c r="M1" i="15"/>
  <c r="R1" i="14"/>
  <c r="B2" i="14" s="1"/>
  <c r="B17" i="24"/>
  <c r="H4" i="7"/>
  <c r="E4" i="7"/>
  <c r="B4" i="7"/>
  <c r="J1" i="6"/>
  <c r="O1" i="11"/>
  <c r="AY6" i="6" l="1"/>
  <c r="AT6" i="6"/>
  <c r="A43" i="6"/>
  <c r="B16" i="15" s="1"/>
  <c r="C10" i="6"/>
  <c r="BB36" i="6"/>
  <c r="AW36" i="6"/>
  <c r="B4" i="19"/>
  <c r="C10" i="19"/>
  <c r="AT4" i="6"/>
  <c r="AY4" i="6"/>
  <c r="B2" i="6"/>
  <c r="BD4" i="6"/>
  <c r="A31" i="15"/>
  <c r="B2" i="15"/>
  <c r="M4" i="15"/>
  <c r="C11" i="15"/>
  <c r="C5" i="15"/>
  <c r="B17" i="11"/>
  <c r="B16" i="14"/>
  <c r="A18" i="15"/>
  <c r="C7" i="15"/>
  <c r="B5" i="15"/>
  <c r="C9" i="15"/>
  <c r="B11" i="15"/>
  <c r="B2" i="11"/>
  <c r="B38" i="11"/>
  <c r="B39" i="11"/>
  <c r="B20" i="24"/>
  <c r="B2" i="24"/>
  <c r="G5" i="24"/>
  <c r="C5" i="24"/>
  <c r="L1" i="24"/>
  <c r="L20" i="24"/>
  <c r="B18" i="24"/>
  <c r="E20" i="24"/>
  <c r="B4" i="24"/>
  <c r="H20" i="24"/>
  <c r="AQ6" i="6"/>
  <c r="AB6" i="6"/>
  <c r="D20" i="6"/>
  <c r="C12" i="6"/>
  <c r="P1" i="11"/>
  <c r="B18" i="11"/>
  <c r="AD7" i="6"/>
  <c r="AQ8" i="6"/>
  <c r="O6" i="6"/>
  <c r="AB7" i="6"/>
  <c r="AQ7" i="6"/>
  <c r="AS7" i="6"/>
  <c r="AC7" i="6"/>
  <c r="AB8" i="6"/>
  <c r="I6" i="6"/>
  <c r="AR7" i="6"/>
  <c r="J7" i="6"/>
  <c r="E7" i="6"/>
  <c r="A44" i="6"/>
  <c r="S1" i="14"/>
  <c r="C19" i="14"/>
  <c r="A35" i="19"/>
  <c r="J33" i="19"/>
  <c r="D23" i="19"/>
  <c r="D19" i="19"/>
  <c r="D14" i="19"/>
  <c r="C13" i="19"/>
  <c r="J12" i="19"/>
  <c r="D11" i="19"/>
  <c r="AH8" i="19"/>
  <c r="P8" i="19"/>
  <c r="AO7" i="19"/>
  <c r="AJ7" i="19"/>
  <c r="AE7" i="19"/>
  <c r="V7" i="19"/>
  <c r="Q7" i="19"/>
  <c r="AU6" i="19"/>
  <c r="AU5" i="19"/>
  <c r="J4" i="19"/>
  <c r="B2" i="19"/>
  <c r="C26" i="19"/>
  <c r="J25" i="19"/>
  <c r="J19" i="19"/>
  <c r="C15" i="19"/>
  <c r="C12" i="19"/>
  <c r="AV7" i="19"/>
  <c r="Y7" i="19"/>
  <c r="T7" i="19"/>
  <c r="G6" i="19"/>
  <c r="M6" i="19" s="1"/>
  <c r="V6" i="19" s="1"/>
  <c r="AK6" i="19" s="1"/>
  <c r="C4" i="19"/>
  <c r="J29" i="19"/>
  <c r="J17" i="19"/>
  <c r="J15" i="19"/>
  <c r="D13" i="19"/>
  <c r="AK8" i="19"/>
  <c r="AK7" i="19"/>
  <c r="AF7" i="19"/>
  <c r="AW6" i="19"/>
  <c r="P4" i="19"/>
  <c r="D27" i="19"/>
  <c r="C22" i="19"/>
  <c r="J21" i="19"/>
  <c r="C19" i="19"/>
  <c r="J18" i="19"/>
  <c r="D17" i="19"/>
  <c r="D15" i="19"/>
  <c r="C14" i="19"/>
  <c r="J13" i="19"/>
  <c r="D10" i="19"/>
  <c r="AE8" i="19"/>
  <c r="AW7" i="19"/>
  <c r="AN7" i="19"/>
  <c r="AI7" i="19"/>
  <c r="Z7" i="19"/>
  <c r="U7" i="19"/>
  <c r="P7" i="19"/>
  <c r="H6" i="19"/>
  <c r="AT5" i="19"/>
  <c r="E4" i="19"/>
  <c r="A39" i="19"/>
  <c r="D31" i="19"/>
  <c r="D16" i="19"/>
  <c r="J11" i="19"/>
  <c r="V8" i="19"/>
  <c r="AM7" i="19"/>
  <c r="AG7" i="19"/>
  <c r="E7" i="19"/>
  <c r="AT4" i="19"/>
  <c r="C30" i="19"/>
  <c r="C18" i="19"/>
  <c r="C16" i="19"/>
  <c r="AX14" i="19"/>
  <c r="S8" i="19"/>
  <c r="AU7" i="19"/>
  <c r="X7" i="19"/>
  <c r="R7" i="19"/>
  <c r="F6" i="19"/>
  <c r="A4" i="19"/>
  <c r="D4" i="19"/>
  <c r="AA7" i="19"/>
  <c r="AX7" i="19"/>
  <c r="C11" i="19"/>
  <c r="J16" i="19"/>
  <c r="C21" i="19"/>
  <c r="D26" i="19"/>
  <c r="J32" i="19"/>
  <c r="D21" i="19"/>
  <c r="J27" i="19"/>
  <c r="C32" i="19"/>
  <c r="D20" i="19"/>
  <c r="J26" i="19"/>
  <c r="C31" i="19"/>
  <c r="J28" i="19"/>
  <c r="J23" i="19"/>
  <c r="D33" i="19"/>
  <c r="J22" i="19"/>
  <c r="D32" i="19"/>
  <c r="S7" i="19"/>
  <c r="AL7" i="19"/>
  <c r="AN8" i="19"/>
  <c r="D18" i="19"/>
  <c r="C29" i="19"/>
  <c r="C24" i="19"/>
  <c r="A37" i="19"/>
  <c r="D28" i="19"/>
  <c r="W7" i="19"/>
  <c r="J10" i="19"/>
  <c r="J20" i="19"/>
  <c r="D30" i="19"/>
  <c r="D25" i="19"/>
  <c r="AE4" i="19"/>
  <c r="J7" i="19"/>
  <c r="AH7" i="19"/>
  <c r="Y8" i="19"/>
  <c r="D12" i="19"/>
  <c r="C17" i="19"/>
  <c r="D22" i="19"/>
  <c r="C33" i="19"/>
  <c r="C28" i="19"/>
  <c r="C27" i="19"/>
  <c r="E6" i="19"/>
  <c r="J14" i="19"/>
  <c r="J24" i="19"/>
  <c r="A36" i="19"/>
  <c r="D29" i="19"/>
  <c r="C23" i="19"/>
  <c r="J6" i="19"/>
  <c r="AP7" i="19"/>
  <c r="AV14" i="19"/>
  <c r="C25" i="19"/>
  <c r="C20" i="19"/>
  <c r="J31" i="19"/>
  <c r="D24" i="19"/>
  <c r="J30" i="19"/>
  <c r="B7" i="11"/>
  <c r="B8" i="11"/>
  <c r="BD7" i="6"/>
  <c r="BC7" i="6"/>
  <c r="AZ7" i="6"/>
  <c r="BB7" i="6"/>
  <c r="BE7" i="6"/>
  <c r="AY7" i="6"/>
  <c r="D14" i="15"/>
  <c r="D12" i="15"/>
  <c r="D13" i="15"/>
  <c r="C13" i="15"/>
  <c r="D11" i="15"/>
  <c r="D15" i="15"/>
  <c r="N1" i="15"/>
  <c r="D8" i="15"/>
  <c r="D5" i="15"/>
  <c r="D7" i="15"/>
  <c r="D10" i="15"/>
  <c r="D9" i="15"/>
  <c r="D6" i="15"/>
  <c r="K1" i="6"/>
  <c r="C36" i="6"/>
  <c r="C11" i="6"/>
  <c r="BA6" i="6"/>
  <c r="BA7" i="6"/>
  <c r="AV6" i="6"/>
  <c r="AU7" i="6"/>
  <c r="AV7" i="6"/>
  <c r="AW7" i="6"/>
  <c r="AX7" i="6"/>
  <c r="AT7" i="6"/>
  <c r="D38" i="6"/>
  <c r="A4" i="6"/>
  <c r="B4" i="6"/>
  <c r="C14" i="6"/>
  <c r="C37" i="6"/>
  <c r="C32" i="6"/>
  <c r="C28" i="6"/>
  <c r="C24" i="6"/>
  <c r="C18" i="6"/>
  <c r="C21" i="6"/>
  <c r="C35" i="6"/>
  <c r="C31" i="6"/>
  <c r="C27" i="6"/>
  <c r="C23" i="6"/>
  <c r="C17" i="6"/>
  <c r="C22" i="6"/>
  <c r="C38" i="6"/>
  <c r="C34" i="6"/>
  <c r="C30" i="6"/>
  <c r="C26" i="6"/>
  <c r="C20" i="6"/>
  <c r="C15" i="6"/>
  <c r="C16" i="6"/>
  <c r="C33" i="6"/>
  <c r="C29" i="6"/>
  <c r="C25" i="6"/>
  <c r="C19" i="6"/>
  <c r="C13" i="6"/>
  <c r="D14" i="6"/>
  <c r="D22" i="6"/>
  <c r="D13" i="6"/>
  <c r="D25" i="6"/>
  <c r="D15" i="6"/>
  <c r="D23" i="6"/>
  <c r="D30" i="6"/>
  <c r="D26" i="6"/>
  <c r="D18" i="6"/>
  <c r="D21" i="6"/>
  <c r="D12" i="6"/>
  <c r="D10" i="6"/>
  <c r="D29" i="6"/>
  <c r="D19" i="6"/>
  <c r="D36" i="6"/>
  <c r="D33" i="6"/>
  <c r="D16" i="6"/>
  <c r="D32" i="6"/>
  <c r="D11" i="6"/>
  <c r="D37" i="6"/>
  <c r="D17" i="6"/>
  <c r="D28" i="6"/>
  <c r="D27" i="6"/>
  <c r="D35" i="6"/>
  <c r="D34" i="6"/>
  <c r="D31" i="6"/>
  <c r="D24" i="6"/>
  <c r="A42" i="6"/>
  <c r="J14" i="6"/>
  <c r="J22" i="6"/>
  <c r="J21" i="6"/>
  <c r="J38" i="6"/>
  <c r="J16" i="6"/>
  <c r="A41" i="6"/>
  <c r="G19" i="14"/>
  <c r="K19" i="14"/>
  <c r="O19" i="14"/>
  <c r="C13" i="11"/>
  <c r="C20" i="11"/>
  <c r="H20" i="11"/>
  <c r="G6" i="6"/>
  <c r="E6" i="24" s="1"/>
  <c r="H6" i="6"/>
  <c r="E6" i="6"/>
  <c r="A40" i="6"/>
  <c r="D4" i="6"/>
  <c r="AE4" i="6"/>
  <c r="P4" i="6"/>
  <c r="B4" i="14"/>
  <c r="B17" i="14"/>
  <c r="B6" i="14"/>
  <c r="B7" i="14"/>
  <c r="M3" i="15"/>
  <c r="B9" i="11"/>
  <c r="C9" i="11"/>
  <c r="B13" i="11"/>
  <c r="B5" i="11"/>
  <c r="G5" i="11"/>
  <c r="J18" i="6"/>
  <c r="J26" i="6"/>
  <c r="J10" i="6"/>
  <c r="J19" i="6"/>
  <c r="J31" i="6"/>
  <c r="J11" i="6"/>
  <c r="J12" i="6"/>
  <c r="J13" i="6"/>
  <c r="J25" i="6"/>
  <c r="J35" i="6"/>
  <c r="J30" i="6"/>
  <c r="J37" i="6"/>
  <c r="J20" i="6"/>
  <c r="J32" i="6"/>
  <c r="J23" i="6"/>
  <c r="J29" i="6"/>
  <c r="J34" i="6"/>
  <c r="J27" i="6"/>
  <c r="J15" i="6"/>
  <c r="J17" i="6"/>
  <c r="J28" i="6"/>
  <c r="J36" i="6"/>
  <c r="J33" i="6"/>
  <c r="J24" i="6"/>
  <c r="J6" i="6"/>
  <c r="V8" i="6"/>
  <c r="AK8" i="6"/>
  <c r="R7" i="6"/>
  <c r="V7" i="6"/>
  <c r="Z7" i="6"/>
  <c r="AG7" i="6"/>
  <c r="AK7" i="6"/>
  <c r="AO7" i="6"/>
  <c r="J4" i="6"/>
  <c r="S8" i="6"/>
  <c r="Q7" i="6"/>
  <c r="Y7" i="6"/>
  <c r="AJ7" i="6"/>
  <c r="E4" i="6"/>
  <c r="Y8" i="6"/>
  <c r="AN8" i="6"/>
  <c r="S7" i="6"/>
  <c r="W7" i="6"/>
  <c r="AA7" i="6"/>
  <c r="AH7" i="6"/>
  <c r="AL7" i="6"/>
  <c r="AP7" i="6"/>
  <c r="F6" i="6"/>
  <c r="D6" i="24" s="1"/>
  <c r="AH8" i="6"/>
  <c r="U7" i="6"/>
  <c r="AF7" i="6"/>
  <c r="AN7" i="6"/>
  <c r="P8" i="6"/>
  <c r="E6" i="7" s="1"/>
  <c r="H6" i="7" s="1"/>
  <c r="AE8" i="6"/>
  <c r="P7" i="6"/>
  <c r="T7" i="6"/>
  <c r="X7" i="6"/>
  <c r="AE7" i="6"/>
  <c r="AI7" i="6"/>
  <c r="AM7" i="6"/>
  <c r="C4" i="6"/>
  <c r="O14" i="11"/>
  <c r="O15" i="11"/>
  <c r="O16" i="11"/>
  <c r="I2" i="24" l="1"/>
  <c r="C4" i="24" s="1"/>
  <c r="D7" i="24" s="1"/>
  <c r="BA36" i="6"/>
  <c r="B19" i="24"/>
  <c r="BA25" i="6"/>
  <c r="BA30" i="6"/>
  <c r="BA17" i="6"/>
  <c r="BA24" i="6"/>
  <c r="BA14" i="6"/>
  <c r="BA29" i="6"/>
  <c r="BA15" i="6"/>
  <c r="BA34" i="6"/>
  <c r="BA23" i="6"/>
  <c r="BA21" i="6"/>
  <c r="BA28" i="6"/>
  <c r="BA12" i="6"/>
  <c r="BA26" i="6"/>
  <c r="BA13" i="6"/>
  <c r="BA33" i="6"/>
  <c r="BA20" i="6"/>
  <c r="BA38" i="6"/>
  <c r="BA27" i="6"/>
  <c r="BA32" i="6"/>
  <c r="BA10" i="6"/>
  <c r="BA35" i="6"/>
  <c r="BA19" i="6"/>
  <c r="BA16" i="6"/>
  <c r="BA22" i="6"/>
  <c r="BA31" i="6"/>
  <c r="BA18" i="6"/>
  <c r="BA37" i="6"/>
  <c r="BA11" i="6"/>
  <c r="F6" i="24"/>
  <c r="J6" i="24" s="1"/>
  <c r="C6" i="24"/>
  <c r="C8" i="14"/>
  <c r="C9" i="24"/>
  <c r="B11" i="14"/>
  <c r="B15" i="14" s="1"/>
  <c r="B12" i="24"/>
  <c r="B16" i="24" s="1"/>
  <c r="C12" i="14"/>
  <c r="C13" i="24"/>
  <c r="B10" i="14"/>
  <c r="B14" i="14" s="1"/>
  <c r="B11" i="24"/>
  <c r="B15" i="24" s="1"/>
  <c r="B8" i="14"/>
  <c r="B12" i="14" s="1"/>
  <c r="B9" i="24"/>
  <c r="B13" i="24" s="1"/>
  <c r="B9" i="14"/>
  <c r="B13" i="14" s="1"/>
  <c r="B10" i="24"/>
  <c r="B14" i="24" s="1"/>
  <c r="H6" i="24"/>
  <c r="I6" i="24"/>
  <c r="F4" i="15"/>
  <c r="C31" i="15" s="1"/>
  <c r="L4" i="15"/>
  <c r="K14" i="15" s="1"/>
  <c r="L4" i="14"/>
  <c r="P6" i="19"/>
  <c r="AE6" i="19" s="1"/>
  <c r="K6" i="19"/>
  <c r="H4" i="15"/>
  <c r="G10" i="15" s="1"/>
  <c r="H4" i="14"/>
  <c r="S6" i="19"/>
  <c r="AH6" i="19" s="1"/>
  <c r="L6" i="19"/>
  <c r="Y6" i="19"/>
  <c r="AN6" i="19" s="1"/>
  <c r="N6" i="19"/>
  <c r="C5" i="14"/>
  <c r="G5" i="14" s="1"/>
  <c r="J4" i="15"/>
  <c r="H18" i="15" s="1"/>
  <c r="F5" i="14"/>
  <c r="J5" i="14" s="1"/>
  <c r="D2" i="7"/>
  <c r="B15" i="7" s="1"/>
  <c r="I2" i="11"/>
  <c r="B19" i="11" s="1"/>
  <c r="P4" i="14"/>
  <c r="D4" i="14"/>
  <c r="N6" i="6"/>
  <c r="Y6" i="6"/>
  <c r="AN6" i="6" s="1"/>
  <c r="D5" i="14"/>
  <c r="L6" i="6"/>
  <c r="S6" i="6"/>
  <c r="AH6" i="6" s="1"/>
  <c r="E5" i="14"/>
  <c r="M6" i="6"/>
  <c r="V6" i="6" s="1"/>
  <c r="AK6" i="6" s="1"/>
  <c r="P6" i="6"/>
  <c r="AE6" i="6" s="1"/>
  <c r="K6" i="6"/>
  <c r="E5" i="7"/>
  <c r="B10" i="11"/>
  <c r="B9" i="7"/>
  <c r="E6" i="11"/>
  <c r="B10" i="7"/>
  <c r="F6" i="11"/>
  <c r="G5" i="7"/>
  <c r="B12" i="11"/>
  <c r="B7" i="7"/>
  <c r="C6" i="11"/>
  <c r="B8" i="7"/>
  <c r="D6" i="11"/>
  <c r="F5" i="7"/>
  <c r="B11" i="11"/>
  <c r="J15" i="24" l="1"/>
  <c r="I11" i="6"/>
  <c r="I18" i="6"/>
  <c r="O27" i="6"/>
  <c r="I38" i="6"/>
  <c r="O12" i="6"/>
  <c r="O33" i="6"/>
  <c r="I32" i="6"/>
  <c r="I34" i="6"/>
  <c r="O15" i="6"/>
  <c r="I17" i="6"/>
  <c r="O30" i="6"/>
  <c r="I19" i="6"/>
  <c r="O24" i="6"/>
  <c r="O37" i="6"/>
  <c r="I27" i="6"/>
  <c r="O29" i="6"/>
  <c r="I12" i="6"/>
  <c r="I31" i="6"/>
  <c r="I33" i="6"/>
  <c r="I15" i="6"/>
  <c r="O36" i="6"/>
  <c r="O26" i="6"/>
  <c r="O28" i="6"/>
  <c r="O35" i="6"/>
  <c r="O16" i="6"/>
  <c r="O19" i="6"/>
  <c r="O14" i="6"/>
  <c r="O13" i="6"/>
  <c r="O11" i="6"/>
  <c r="I37" i="6"/>
  <c r="O18" i="6"/>
  <c r="O20" i="6"/>
  <c r="I29" i="6"/>
  <c r="O31" i="6"/>
  <c r="O21" i="6"/>
  <c r="O23" i="6"/>
  <c r="O34" i="6"/>
  <c r="O25" i="6"/>
  <c r="I36" i="6"/>
  <c r="I26" i="6"/>
  <c r="I28" i="6"/>
  <c r="I35" i="6"/>
  <c r="I30" i="6"/>
  <c r="I16" i="6"/>
  <c r="I22" i="6"/>
  <c r="I13" i="6"/>
  <c r="O38" i="6"/>
  <c r="I20" i="6"/>
  <c r="I24" i="6"/>
  <c r="O32" i="6"/>
  <c r="I21" i="6"/>
  <c r="I23" i="6"/>
  <c r="I25" i="6"/>
  <c r="O17" i="6"/>
  <c r="I14" i="6"/>
  <c r="O22" i="6"/>
  <c r="AC33" i="6"/>
  <c r="AR28" i="6"/>
  <c r="AQ17" i="6"/>
  <c r="AD30" i="6"/>
  <c r="AS37" i="6"/>
  <c r="AB31" i="6"/>
  <c r="AS27" i="6"/>
  <c r="AD33" i="6"/>
  <c r="AQ33" i="6"/>
  <c r="AB14" i="6"/>
  <c r="AQ32" i="6"/>
  <c r="AB27" i="6"/>
  <c r="AQ38" i="6"/>
  <c r="AD28" i="6"/>
  <c r="AQ15" i="6"/>
  <c r="AQ29" i="6"/>
  <c r="AR25" i="6"/>
  <c r="AR31" i="6"/>
  <c r="AB16" i="6"/>
  <c r="AC24" i="6"/>
  <c r="AD36" i="6"/>
  <c r="AR36" i="6"/>
  <c r="AB24" i="6"/>
  <c r="AQ35" i="6"/>
  <c r="AR17" i="6"/>
  <c r="AQ37" i="6"/>
  <c r="AD19" i="6"/>
  <c r="AB23" i="6"/>
  <c r="AC29" i="6"/>
  <c r="AQ36" i="6"/>
  <c r="AS25" i="6"/>
  <c r="AC11" i="6"/>
  <c r="O10" i="6"/>
  <c r="AD38" i="6"/>
  <c r="AB12" i="6"/>
  <c r="F16" i="24"/>
  <c r="AC17" i="6"/>
  <c r="AS26" i="6"/>
  <c r="AQ19" i="6"/>
  <c r="E7" i="24"/>
  <c r="H31" i="15"/>
  <c r="E14" i="24"/>
  <c r="AR18" i="6"/>
  <c r="I10" i="6"/>
  <c r="AC38" i="6"/>
  <c r="AC28" i="6"/>
  <c r="AR29" i="6"/>
  <c r="AQ14" i="6"/>
  <c r="AD10" i="6"/>
  <c r="AQ10" i="6"/>
  <c r="AQ31" i="6"/>
  <c r="AD22" i="6"/>
  <c r="AR26" i="6"/>
  <c r="K5" i="15"/>
  <c r="AC13" i="6"/>
  <c r="AC16" i="6"/>
  <c r="AQ12" i="6"/>
  <c r="AC22" i="6"/>
  <c r="AS16" i="6"/>
  <c r="AS12" i="6"/>
  <c r="AR12" i="6"/>
  <c r="AD12" i="6"/>
  <c r="H11" i="14"/>
  <c r="R10" i="14"/>
  <c r="AR38" i="6"/>
  <c r="AS20" i="6"/>
  <c r="AS35" i="6"/>
  <c r="AC12" i="6"/>
  <c r="AC31" i="6"/>
  <c r="AR22" i="6"/>
  <c r="AS22" i="6"/>
  <c r="AB19" i="6"/>
  <c r="N10" i="14"/>
  <c r="AS38" i="6"/>
  <c r="AR15" i="6"/>
  <c r="AS14" i="6"/>
  <c r="AR14" i="6"/>
  <c r="AR16" i="6"/>
  <c r="AD25" i="6"/>
  <c r="AQ18" i="6"/>
  <c r="AD37" i="6"/>
  <c r="AQ25" i="6"/>
  <c r="AR23" i="6"/>
  <c r="AQ26" i="6"/>
  <c r="K13" i="15"/>
  <c r="L31" i="15"/>
  <c r="AS30" i="6"/>
  <c r="AR11" i="6"/>
  <c r="AB37" i="6"/>
  <c r="AQ22" i="6"/>
  <c r="K11" i="15"/>
  <c r="K6" i="15"/>
  <c r="AC25" i="6"/>
  <c r="AB18" i="6"/>
  <c r="AC19" i="6"/>
  <c r="K10" i="15"/>
  <c r="K12" i="15"/>
  <c r="AQ28" i="6"/>
  <c r="AQ21" i="6"/>
  <c r="AQ23" i="6"/>
  <c r="AB34" i="6"/>
  <c r="AS36" i="6"/>
  <c r="AD14" i="6"/>
  <c r="AS24" i="6"/>
  <c r="AS23" i="6"/>
  <c r="AC36" i="6"/>
  <c r="AB13" i="6"/>
  <c r="AB28" i="6"/>
  <c r="AC21" i="6"/>
  <c r="AB21" i="6"/>
  <c r="AR21" i="6"/>
  <c r="AC15" i="6"/>
  <c r="AC35" i="6"/>
  <c r="AB17" i="6"/>
  <c r="AB11" i="6"/>
  <c r="AC23" i="6"/>
  <c r="AB29" i="6"/>
  <c r="AQ34" i="6"/>
  <c r="AB15" i="6"/>
  <c r="AQ24" i="6"/>
  <c r="AQ30" i="6"/>
  <c r="AQ11" i="6"/>
  <c r="AS11" i="6"/>
  <c r="AD34" i="6"/>
  <c r="AB32" i="6"/>
  <c r="AS32" i="6"/>
  <c r="AQ27" i="6"/>
  <c r="AQ20" i="6"/>
  <c r="AS33" i="6"/>
  <c r="AB33" i="6"/>
  <c r="AR33" i="6"/>
  <c r="AD20" i="6"/>
  <c r="AB20" i="6"/>
  <c r="AB36" i="6"/>
  <c r="AS13" i="6"/>
  <c r="AD24" i="6"/>
  <c r="AD35" i="6"/>
  <c r="M14" i="15"/>
  <c r="M13" i="15"/>
  <c r="AR34" i="6"/>
  <c r="AS18" i="6"/>
  <c r="M11" i="15"/>
  <c r="AC32" i="6"/>
  <c r="AD27" i="6"/>
  <c r="AR13" i="6"/>
  <c r="AS28" i="6"/>
  <c r="AS29" i="6"/>
  <c r="AB35" i="6"/>
  <c r="AD17" i="6"/>
  <c r="AR30" i="6"/>
  <c r="AC10" i="6"/>
  <c r="M12" i="15"/>
  <c r="AR32" i="6"/>
  <c r="AD32" i="6"/>
  <c r="AC20" i="6"/>
  <c r="AR20" i="6"/>
  <c r="AD13" i="6"/>
  <c r="AD21" i="6"/>
  <c r="AC34" i="6"/>
  <c r="AS34" i="6"/>
  <c r="AC14" i="6"/>
  <c r="AR24" i="6"/>
  <c r="AR35" i="6"/>
  <c r="AS17" i="6"/>
  <c r="AB30" i="6"/>
  <c r="AR10" i="6"/>
  <c r="AC37" i="6"/>
  <c r="H10" i="11"/>
  <c r="G12" i="11"/>
  <c r="H11" i="11"/>
  <c r="G14" i="11"/>
  <c r="AD16" i="6"/>
  <c r="AS19" i="6"/>
  <c r="AC27" i="6"/>
  <c r="AB38" i="6"/>
  <c r="AS21" i="6"/>
  <c r="AD23" i="6"/>
  <c r="AD29" i="6"/>
  <c r="AC30" i="6"/>
  <c r="AB10" i="6"/>
  <c r="AD11" i="6"/>
  <c r="AR37" i="6"/>
  <c r="AC18" i="6"/>
  <c r="AD31" i="6"/>
  <c r="AB22" i="6"/>
  <c r="H12" i="11"/>
  <c r="H14" i="11"/>
  <c r="H15" i="11"/>
  <c r="AR19" i="6"/>
  <c r="AQ13" i="6"/>
  <c r="AS15" i="6"/>
  <c r="AB25" i="6"/>
  <c r="G16" i="11"/>
  <c r="G15" i="11"/>
  <c r="AR27" i="6"/>
  <c r="AD15" i="6"/>
  <c r="AS10" i="6"/>
  <c r="AD18" i="6"/>
  <c r="AS31" i="6"/>
  <c r="G11" i="11"/>
  <c r="H16" i="11"/>
  <c r="G10" i="11"/>
  <c r="AQ16" i="6"/>
  <c r="I8" i="15"/>
  <c r="G8" i="11"/>
  <c r="H7" i="11"/>
  <c r="G7" i="11"/>
  <c r="H8" i="11"/>
  <c r="G6" i="15"/>
  <c r="M11" i="14"/>
  <c r="I9" i="14"/>
  <c r="K15" i="15"/>
  <c r="K8" i="15"/>
  <c r="K9" i="15"/>
  <c r="G11" i="14"/>
  <c r="I10" i="14"/>
  <c r="L18" i="15"/>
  <c r="K7" i="15"/>
  <c r="C8" i="24"/>
  <c r="L10" i="14"/>
  <c r="E8" i="15"/>
  <c r="I8" i="24"/>
  <c r="F8" i="24"/>
  <c r="M9" i="14"/>
  <c r="F7" i="24"/>
  <c r="J7" i="24"/>
  <c r="J8" i="24"/>
  <c r="J16" i="24"/>
  <c r="H16" i="24"/>
  <c r="I11" i="24"/>
  <c r="J11" i="24"/>
  <c r="H12" i="24"/>
  <c r="J10" i="24"/>
  <c r="G11" i="24"/>
  <c r="D8" i="24"/>
  <c r="E8" i="24"/>
  <c r="C16" i="24"/>
  <c r="D11" i="24"/>
  <c r="E12" i="24"/>
  <c r="F15" i="24"/>
  <c r="D12" i="24"/>
  <c r="G10" i="24"/>
  <c r="H11" i="24"/>
  <c r="J14" i="24"/>
  <c r="G12" i="24"/>
  <c r="G15" i="24"/>
  <c r="H14" i="24"/>
  <c r="I16" i="24"/>
  <c r="D16" i="24"/>
  <c r="C15" i="24"/>
  <c r="C7" i="24"/>
  <c r="C11" i="24"/>
  <c r="F14" i="24"/>
  <c r="B37" i="24"/>
  <c r="B35" i="24"/>
  <c r="B34" i="24"/>
  <c r="B36" i="24"/>
  <c r="G6" i="24"/>
  <c r="I12" i="24"/>
  <c r="J12" i="24"/>
  <c r="H15" i="24"/>
  <c r="I14" i="24"/>
  <c r="I15" i="24"/>
  <c r="E16" i="24"/>
  <c r="E11" i="24"/>
  <c r="F11" i="24"/>
  <c r="D15" i="24"/>
  <c r="E15" i="24"/>
  <c r="C14" i="24"/>
  <c r="F12" i="24"/>
  <c r="C10" i="24"/>
  <c r="G14" i="24"/>
  <c r="H10" i="24"/>
  <c r="I10" i="24"/>
  <c r="G16" i="24"/>
  <c r="C12" i="24"/>
  <c r="D14" i="24"/>
  <c r="F10" i="24"/>
  <c r="D10" i="24"/>
  <c r="E10" i="24"/>
  <c r="I7" i="24"/>
  <c r="H7" i="24"/>
  <c r="H8" i="24"/>
  <c r="K11" i="14"/>
  <c r="N9" i="14"/>
  <c r="M10" i="14"/>
  <c r="I7" i="15"/>
  <c r="G11" i="15"/>
  <c r="P11" i="14"/>
  <c r="K9" i="14"/>
  <c r="G7" i="15"/>
  <c r="G13" i="15"/>
  <c r="K10" i="14"/>
  <c r="K9" i="7"/>
  <c r="L9" i="7" s="1"/>
  <c r="L11" i="14"/>
  <c r="N11" i="14"/>
  <c r="L9" i="14"/>
  <c r="K13" i="14"/>
  <c r="E18" i="15"/>
  <c r="G8" i="15"/>
  <c r="E31" i="15"/>
  <c r="E12" i="15"/>
  <c r="E10" i="15"/>
  <c r="I15" i="14"/>
  <c r="J9" i="14"/>
  <c r="H9" i="14"/>
  <c r="H10" i="14"/>
  <c r="E7" i="15"/>
  <c r="E9" i="15"/>
  <c r="I11" i="14"/>
  <c r="G9" i="14"/>
  <c r="J10" i="14"/>
  <c r="G10" i="14"/>
  <c r="C18" i="15"/>
  <c r="E15" i="15"/>
  <c r="E13" i="15"/>
  <c r="E6" i="15"/>
  <c r="J11" i="14"/>
  <c r="H14" i="14"/>
  <c r="E11" i="15"/>
  <c r="E5" i="15"/>
  <c r="E14" i="15"/>
  <c r="G9" i="15"/>
  <c r="G12" i="15"/>
  <c r="G15" i="15"/>
  <c r="B17" i="15"/>
  <c r="G14" i="15"/>
  <c r="G5" i="15"/>
  <c r="R11" i="14"/>
  <c r="Q9" i="14"/>
  <c r="O10" i="14"/>
  <c r="Q10" i="14"/>
  <c r="I5" i="15"/>
  <c r="I15" i="15"/>
  <c r="I14" i="15"/>
  <c r="O11" i="14"/>
  <c r="P10" i="14"/>
  <c r="I13" i="15"/>
  <c r="I12" i="15"/>
  <c r="I9" i="15"/>
  <c r="O9" i="14"/>
  <c r="P9" i="14"/>
  <c r="Q11" i="14"/>
  <c r="R9" i="14"/>
  <c r="I6" i="15"/>
  <c r="I10" i="15"/>
  <c r="I11" i="15"/>
  <c r="D10" i="14"/>
  <c r="B18" i="14"/>
  <c r="C6" i="14"/>
  <c r="K5" i="11"/>
  <c r="K16" i="11" s="1"/>
  <c r="K10" i="7"/>
  <c r="L10" i="7" s="1"/>
  <c r="C7" i="14"/>
  <c r="F11" i="14"/>
  <c r="E11" i="14"/>
  <c r="C9" i="14"/>
  <c r="L13" i="14"/>
  <c r="H15" i="14"/>
  <c r="L15" i="14"/>
  <c r="G14" i="14"/>
  <c r="K14" i="14"/>
  <c r="J15" i="14"/>
  <c r="F13" i="14"/>
  <c r="E14" i="14"/>
  <c r="C15" i="14"/>
  <c r="F15" i="14"/>
  <c r="C14" i="14"/>
  <c r="C13" i="14"/>
  <c r="F14" i="14"/>
  <c r="D15" i="14"/>
  <c r="D13" i="14"/>
  <c r="D14" i="14"/>
  <c r="E13" i="14"/>
  <c r="E15" i="14"/>
  <c r="C11" i="14"/>
  <c r="D11" i="14"/>
  <c r="F9" i="14"/>
  <c r="E9" i="14"/>
  <c r="F6" i="14"/>
  <c r="C10" i="14"/>
  <c r="K15" i="14"/>
  <c r="N14" i="14"/>
  <c r="M13" i="14"/>
  <c r="G15" i="14"/>
  <c r="G13" i="14"/>
  <c r="I13" i="14"/>
  <c r="R13" i="14"/>
  <c r="Q13" i="14"/>
  <c r="P13" i="14"/>
  <c r="O13" i="14"/>
  <c r="R15" i="14"/>
  <c r="R14" i="14"/>
  <c r="O14" i="14"/>
  <c r="P14" i="14"/>
  <c r="Q14" i="14"/>
  <c r="O15" i="14"/>
  <c r="P15" i="14"/>
  <c r="Q15" i="14"/>
  <c r="D9" i="14"/>
  <c r="F10" i="14"/>
  <c r="M14" i="14"/>
  <c r="N15" i="14"/>
  <c r="N13" i="14"/>
  <c r="H13" i="14"/>
  <c r="I14" i="14"/>
  <c r="J13" i="14"/>
  <c r="E10" i="14"/>
  <c r="M15" i="14"/>
  <c r="L14" i="14"/>
  <c r="J14" i="14"/>
  <c r="L10" i="11"/>
  <c r="F7" i="14"/>
  <c r="I5" i="7"/>
  <c r="F8" i="7"/>
  <c r="F7" i="7"/>
  <c r="F9" i="7"/>
  <c r="F10" i="7"/>
  <c r="D7" i="7"/>
  <c r="C10" i="7"/>
  <c r="C12" i="7" s="1"/>
  <c r="D10" i="7"/>
  <c r="H5" i="7"/>
  <c r="E8" i="7"/>
  <c r="E10" i="7"/>
  <c r="E7" i="7"/>
  <c r="E9" i="7"/>
  <c r="I5" i="14"/>
  <c r="E6" i="14"/>
  <c r="E7" i="14"/>
  <c r="K5" i="14"/>
  <c r="G7" i="14"/>
  <c r="G6" i="14"/>
  <c r="B15" i="11"/>
  <c r="E15" i="11" s="1"/>
  <c r="F11" i="11"/>
  <c r="C11" i="11"/>
  <c r="D11" i="11"/>
  <c r="E11" i="11"/>
  <c r="G6" i="11"/>
  <c r="K6" i="11" s="1"/>
  <c r="C7" i="11"/>
  <c r="C8" i="11"/>
  <c r="J6" i="11"/>
  <c r="N6" i="11" s="1"/>
  <c r="F8" i="11"/>
  <c r="F7" i="11"/>
  <c r="B14" i="11"/>
  <c r="E14" i="11" s="1"/>
  <c r="E10" i="11"/>
  <c r="F10" i="11"/>
  <c r="C10" i="11"/>
  <c r="D10" i="11"/>
  <c r="H5" i="14"/>
  <c r="D6" i="14"/>
  <c r="D7" i="14"/>
  <c r="H6" i="11"/>
  <c r="L6" i="11" s="1"/>
  <c r="D7" i="11"/>
  <c r="D8" i="11"/>
  <c r="B16" i="11"/>
  <c r="E16" i="11" s="1"/>
  <c r="E12" i="11"/>
  <c r="F12" i="11"/>
  <c r="C12" i="11"/>
  <c r="D12" i="11"/>
  <c r="I6" i="11"/>
  <c r="M6" i="11" s="1"/>
  <c r="E8" i="11"/>
  <c r="E7" i="11"/>
  <c r="N5" i="14"/>
  <c r="J7" i="14"/>
  <c r="J6" i="14"/>
  <c r="C8" i="7"/>
  <c r="D8" i="7"/>
  <c r="J5" i="7"/>
  <c r="G7" i="7"/>
  <c r="G9" i="7"/>
  <c r="G10" i="7"/>
  <c r="G8" i="7"/>
  <c r="C9" i="7"/>
  <c r="D9" i="7"/>
  <c r="C7" i="7"/>
  <c r="I7" i="11" l="1"/>
  <c r="J7" i="11"/>
  <c r="M8" i="15"/>
  <c r="M7" i="15"/>
  <c r="M6" i="15"/>
  <c r="M5" i="15"/>
  <c r="G7" i="24"/>
  <c r="G8" i="24"/>
  <c r="K11" i="11"/>
  <c r="K12" i="11"/>
  <c r="L7" i="11"/>
  <c r="M7" i="11" s="1"/>
  <c r="L8" i="11"/>
  <c r="M8" i="11" s="1"/>
  <c r="L11" i="11"/>
  <c r="L16" i="11"/>
  <c r="K15" i="11"/>
  <c r="K8" i="11"/>
  <c r="K7" i="11"/>
  <c r="N7" i="11" s="1"/>
  <c r="L14" i="11"/>
  <c r="K14" i="11"/>
  <c r="L12" i="11"/>
  <c r="K10" i="11"/>
  <c r="L15" i="11"/>
  <c r="F14" i="11"/>
  <c r="N8" i="11"/>
  <c r="C16" i="11"/>
  <c r="F16" i="11"/>
  <c r="D15" i="11"/>
  <c r="D14" i="11"/>
  <c r="D16" i="11"/>
  <c r="F15" i="11"/>
  <c r="C15" i="11"/>
  <c r="C14" i="11"/>
  <c r="I8" i="7"/>
  <c r="I7" i="7"/>
  <c r="I9" i="7"/>
  <c r="I10" i="7"/>
  <c r="H9" i="7"/>
  <c r="H10" i="7"/>
  <c r="H8" i="7"/>
  <c r="H7" i="7"/>
  <c r="J9" i="7"/>
  <c r="J7" i="7"/>
  <c r="J10" i="7"/>
  <c r="J8" i="7"/>
  <c r="R5" i="14"/>
  <c r="N6" i="14"/>
  <c r="N7" i="14"/>
  <c r="O5" i="14"/>
  <c r="K6" i="14"/>
  <c r="K7" i="14"/>
  <c r="L5" i="14"/>
  <c r="H6" i="14"/>
  <c r="H7" i="14"/>
  <c r="M5" i="14"/>
  <c r="I6" i="14"/>
  <c r="I7" i="14"/>
  <c r="I8" i="11"/>
  <c r="J8" i="11"/>
  <c r="C5" i="11"/>
  <c r="P5" i="14" l="1"/>
  <c r="L6" i="14"/>
  <c r="L7" i="14"/>
  <c r="O7" i="14"/>
  <c r="O6" i="14"/>
  <c r="Q5" i="14"/>
  <c r="M6" i="14"/>
  <c r="M7" i="14"/>
  <c r="R6" i="14"/>
  <c r="R7" i="14"/>
  <c r="C11" i="7"/>
  <c r="Q6" i="14" l="1"/>
  <c r="Q7" i="14"/>
  <c r="P6" i="14"/>
  <c r="P7" i="14"/>
  <c r="J11" i="7"/>
  <c r="I11" i="7"/>
  <c r="H11" i="7"/>
  <c r="G11" i="7"/>
  <c r="F11" i="7"/>
  <c r="E11" i="7"/>
  <c r="D11" i="7"/>
  <c r="D12" i="7"/>
  <c r="F12" i="7"/>
  <c r="J12" i="7"/>
  <c r="G12" i="7"/>
  <c r="H12" i="7"/>
  <c r="E12" i="7"/>
  <c r="I12" i="7"/>
  <c r="AB26" i="6" l="1"/>
  <c r="AC26" i="6"/>
  <c r="AD26" i="6"/>
  <c r="I15" i="11" l="1"/>
  <c r="J15" i="11"/>
  <c r="J14" i="11"/>
  <c r="I14" i="11"/>
  <c r="N14" i="11"/>
  <c r="M14" i="11"/>
  <c r="M16" i="11"/>
  <c r="N16" i="11"/>
  <c r="I16" i="11"/>
  <c r="J16" i="11"/>
  <c r="N15" i="11"/>
  <c r="M15" i="11"/>
  <c r="J11" i="11"/>
  <c r="I11" i="11"/>
  <c r="M11" i="11"/>
  <c r="N11" i="11"/>
  <c r="I10" i="11"/>
  <c r="J10" i="11"/>
  <c r="N10" i="11"/>
  <c r="M10" i="11"/>
  <c r="J12" i="11"/>
  <c r="I12" i="11"/>
  <c r="M12" i="11"/>
  <c r="N12" i="11"/>
</calcChain>
</file>

<file path=xl/comments1.xml><?xml version="1.0" encoding="utf-8"?>
<comments xmlns="http://schemas.openxmlformats.org/spreadsheetml/2006/main">
  <authors>
    <author>Автор</author>
  </authors>
  <commentList>
    <comment ref="AM25" authorId="0" shapeId="0">
      <text>
        <r>
          <rPr>
            <b/>
            <sz val="9"/>
            <color indexed="81"/>
            <rFont val="Tahoma"/>
            <family val="2"/>
            <charset val="204"/>
          </rPr>
          <t>Автор:</t>
        </r>
        <r>
          <rPr>
            <sz val="9"/>
            <color indexed="81"/>
            <rFont val="Tahoma"/>
            <family val="2"/>
            <charset val="204"/>
          </rPr>
          <t xml:space="preserve">
Нестача в капіталі у зв'язку з невиконанням Н3, який буде діяти з 01.01.2019. Докапіталізація не потрібна</t>
        </r>
      </text>
    </comment>
  </commentList>
</comments>
</file>

<file path=xl/sharedStrings.xml><?xml version="1.0" encoding="utf-8"?>
<sst xmlns="http://schemas.openxmlformats.org/spreadsheetml/2006/main" count="232" uniqueCount="127">
  <si>
    <t>Група</t>
  </si>
  <si>
    <t>Розгляд комітетом</t>
  </si>
  <si>
    <t>Розгляд та затвердження результатів оцінки стійкості банків Правлінням НБУ</t>
  </si>
  <si>
    <t>Назва банку</t>
  </si>
  <si>
    <t>Відповідальні Бал. модель</t>
  </si>
  <si>
    <t>Ідея</t>
  </si>
  <si>
    <t>Фецич</t>
  </si>
  <si>
    <t>КРЕДІ АГРІКОЛЬ</t>
  </si>
  <si>
    <t>Волошин</t>
  </si>
  <si>
    <t>ОТП</t>
  </si>
  <si>
    <t>Борищук</t>
  </si>
  <si>
    <t>Райффайзен</t>
  </si>
  <si>
    <t>Тарнавський+Дадашова</t>
  </si>
  <si>
    <t>УкрСиб</t>
  </si>
  <si>
    <t>Дробязгін</t>
  </si>
  <si>
    <t>ВОСТОК</t>
  </si>
  <si>
    <t>Задерей</t>
  </si>
  <si>
    <t>ТАС</t>
  </si>
  <si>
    <t>Південний</t>
  </si>
  <si>
    <t>Панга</t>
  </si>
  <si>
    <t>КРЕДО</t>
  </si>
  <si>
    <t>СБЕР</t>
  </si>
  <si>
    <t>Плахота</t>
  </si>
  <si>
    <t>ПРОКРЕДИТ</t>
  </si>
  <si>
    <t>А</t>
  </si>
  <si>
    <t>БІЗ</t>
  </si>
  <si>
    <t>Гвоздєва</t>
  </si>
  <si>
    <t>Промінвест</t>
  </si>
  <si>
    <t>ВТБ</t>
  </si>
  <si>
    <t>ПУМБ</t>
  </si>
  <si>
    <t>УНІВЕРСАЛ</t>
  </si>
  <si>
    <t>КРЕДИТ ДНІПРО</t>
  </si>
  <si>
    <t>МЕГА</t>
  </si>
  <si>
    <t>АЛЬФА</t>
  </si>
  <si>
    <t>УКРГАЗ</t>
  </si>
  <si>
    <t>Укрексім</t>
  </si>
  <si>
    <t>ПРИВАТ</t>
  </si>
  <si>
    <t>ОЩАД</t>
  </si>
  <si>
    <t>Вишневський</t>
  </si>
  <si>
    <t>Додаток 6</t>
  </si>
  <si>
    <t>до Технічного завдання для здійснення оцінки стійкості банків та банківської системи України</t>
  </si>
  <si>
    <t>(пункт 56 розділу XII)</t>
  </si>
  <si>
    <t>Формат публікації результатів оцінки стійкості банків і банківської системи України</t>
  </si>
  <si>
    <t>Таблиця 1</t>
  </si>
  <si>
    <t xml:space="preserve">Результати оцінки стійкості банків, які проходили оцінку за трьома етапами </t>
  </si>
  <si>
    <t xml:space="preserve">(тис. грн, %) </t>
  </si>
  <si>
    <t>Дані банку</t>
  </si>
  <si>
    <t>За базовим макроекономічним сценарієм</t>
  </si>
  <si>
    <t>За несприятливим макроекономічним сценарієм</t>
  </si>
  <si>
    <t xml:space="preserve">Заходи, здійснені банком після звітної дати </t>
  </si>
  <si>
    <t>ОК</t>
  </si>
  <si>
    <t>РК</t>
  </si>
  <si>
    <t>Н2</t>
  </si>
  <si>
    <t>Н3</t>
  </si>
  <si>
    <t>проведення екстрапо-ляції  (так/ні)</t>
  </si>
  <si>
    <t>зі збільшення капіталу</t>
  </si>
  <si>
    <t>інші заходи</t>
  </si>
  <si>
    <t>звітний рік</t>
  </si>
  <si>
    <t xml:space="preserve">1-й </t>
  </si>
  <si>
    <t xml:space="preserve">2-й </t>
  </si>
  <si>
    <t xml:space="preserve">3-й </t>
  </si>
  <si>
    <t>прогнозний рік</t>
  </si>
  <si>
    <t>ні</t>
  </si>
  <si>
    <t>Примітка. Перелік  банків, за якими оцінка стійкості здійснюється за трьома етапами, визначений у додатку 3 до рішення Правління Національного банку України від 28 грудня  2017 року № 848-рш.</t>
  </si>
  <si>
    <t>НКБ</t>
  </si>
  <si>
    <t>Satelite</t>
  </si>
  <si>
    <t>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t>
  </si>
  <si>
    <t>Chk</t>
  </si>
  <si>
    <t>Amount of need (lack) of capital for capitalization program before 31 December 2018</t>
  </si>
  <si>
    <t>Amount of need (lack) in capital based on the results of two stages of sustainability assessment</t>
  </si>
  <si>
    <t>Amount of need (lack) in the capital at the end of 2018 by results of stress testing by baseline scenario.</t>
  </si>
  <si>
    <t>Amount of need (lack) of capital for restructuring plan before 31 December 2019</t>
  </si>
  <si>
    <t>Amount of need (lack) in the capital at the end of 2019 by results of stress testing by baseline scenario.</t>
  </si>
  <si>
    <t>Amount of need (lack) in the capital at the end of 2020 by results of stress testing by baseline scenario.</t>
  </si>
  <si>
    <t>Amount of need (lack) in the capital at the end of 2018 by results of stress testing by adverse scenario.</t>
  </si>
  <si>
    <t>Amount of need (lack) in the capital at the end of 2019 by results of stress testing by adverse scenario.</t>
  </si>
  <si>
    <t>Amount of need (lack) in the capital at the end of 2020 by results of stress testing by adverse scenario.</t>
  </si>
  <si>
    <t>Bank</t>
  </si>
  <si>
    <t>##</t>
  </si>
  <si>
    <t>Idea bank</t>
  </si>
  <si>
    <t>Credit Agricole</t>
  </si>
  <si>
    <t>OTP bank</t>
  </si>
  <si>
    <t>Aval</t>
  </si>
  <si>
    <t>UkrSibbank</t>
  </si>
  <si>
    <t>Vostok</t>
  </si>
  <si>
    <t>Pivdenniy</t>
  </si>
  <si>
    <t>Credobank</t>
  </si>
  <si>
    <t>Sberbank</t>
  </si>
  <si>
    <t>Procredit</t>
  </si>
  <si>
    <t>A-bank</t>
  </si>
  <si>
    <t>BIS</t>
  </si>
  <si>
    <t>Prominvestbank (PIB)</t>
  </si>
  <si>
    <t>VTB</t>
  </si>
  <si>
    <t>PUMB (FUIB)</t>
  </si>
  <si>
    <t>Universal</t>
  </si>
  <si>
    <t>Credit Dnipro</t>
  </si>
  <si>
    <t>Megabank</t>
  </si>
  <si>
    <t>Alfa Bank</t>
  </si>
  <si>
    <t>Taskombank*</t>
  </si>
  <si>
    <t>* Lack of capital due to non-fulfillment of Tier 1 ratio (AQR results as of 01.01.2018). Tier 1 ratio will be implemented from 01.01.2019. Capitalization program is not needed.</t>
  </si>
  <si>
    <t>АТ "Райффайзен Банк Аваль"</t>
  </si>
  <si>
    <t>Акціонерний банк"Південний"</t>
  </si>
  <si>
    <t>( % )</t>
  </si>
  <si>
    <t>ПАТ "УНІВЕРСАЛ БАНК"</t>
  </si>
  <si>
    <t>ПАТ "А - БАНК"</t>
  </si>
  <si>
    <t>БАНК ІНВЕСТ. ТА ЗАОЩАДЖЕНЬ</t>
  </si>
  <si>
    <t>ПАТ "КРЕДІ АГРІКОЛЬ БАНК"</t>
  </si>
  <si>
    <t>АТ "ПРОКРЕДИТ БАНК"</t>
  </si>
  <si>
    <t>ПАT "ПУМБ"</t>
  </si>
  <si>
    <t>ПАТ "Ідея Банк"</t>
  </si>
  <si>
    <t>ПАТ "КРЕДОБАНК"</t>
  </si>
  <si>
    <t>ПАТ "МЕГАБАНК", Харків</t>
  </si>
  <si>
    <t>АТ "ОТП БАНК"</t>
  </si>
  <si>
    <t>ПАТ "СБЕРБАНК"</t>
  </si>
  <si>
    <t>АТ "ТАСКОМБАНК"</t>
  </si>
  <si>
    <t>АТ "УкрСиббанк"</t>
  </si>
  <si>
    <t>ПАТ "БАНК ВОСТОК"</t>
  </si>
  <si>
    <t>ПАТ "БАНК КРЕДИТ ДНІПРО"</t>
  </si>
  <si>
    <t>ПАТ "ВТБ БАНК"</t>
  </si>
  <si>
    <t>ПАТ "Промінвестбанк"</t>
  </si>
  <si>
    <t>Розрахунковий знаменник нормативу, млн грн</t>
  </si>
  <si>
    <t>ENG</t>
  </si>
  <si>
    <t>UA</t>
  </si>
  <si>
    <t>To change language go the the first sheet</t>
  </si>
  <si>
    <t xml:space="preserve">** Відповідно до пункту 21-1 розділу ІІІ Положення № 141 переглянуто необхідні рівні нормативів достатності (адекватності) регулятивного капіталу (Н2) та достатності основного капіталу (H3) для АТ “АЛЬФА-БАНК” з урахуванням ефекту від реорганізації шляхом приєднання АТ “УКРСОЦБАНК” до АТ “АЛЬФА-БАНК”. Так, необхідний рівень нормативу Н2 АТ “АЛЬФА-БАНК” як банку-правонаступника становив 18,0%, нормативу Н3 – 18,0%. З урахуванням вжитих заходів оновлений необхідний рівень нормативів Н2 – 14,8%, Н3 – 14,8% </t>
  </si>
  <si>
    <t>-</t>
  </si>
  <si>
    <t xml:space="preserve">** According to the art.21-1 ch. III of the NBU Regulation No. 141, required capital adequacy levels of Alfa-Bank were revised in view of the reorganization and merger with Ukrsotsbank. Hence, required CAR of Alfa-Bank as the successor bank was 18.0%, core capital  ratio – 18.0%. After measures taken, the required levels are: CAR – 14.8%, core capital ratio – 14.8%.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</si>
</sst>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quot;-&quot;"/>
    <numFmt numFmtId="166" formatCode="0.0"/>
  </numFmts>
  <fonts count="31" x14ac:knownFonts="1">
    <font>
      <sz val="11"/>
      <color theme="1"/>
      <name val="Calibri"/>
      <family val="2"/>
      <scheme val="minor"/>
    </font>
    <font>
      <sz val="11"/>
      <color theme="1"/>
      <name val="Calibri"/>
      <family val="2"/>
      <charset val="204"/>
      <scheme val="minor"/>
    </font>
    <font>
      <sz val="14"/>
      <color rgb="FF000000"/>
      <name val="Times New Roman"/>
      <family val="1"/>
      <charset val="204"/>
    </font>
    <font>
      <sz val="14"/>
      <color theme="1"/>
      <name val="Times New Roman"/>
      <family val="1"/>
      <charset val="204"/>
    </font>
    <font>
      <sz val="14"/>
      <color theme="1"/>
      <name val="Calibri"/>
      <family val="2"/>
      <charset val="204"/>
      <scheme val="minor"/>
    </font>
    <font>
      <sz val="14"/>
      <name val="Times New Roman"/>
      <family val="1"/>
      <charset val="204"/>
    </font>
    <font>
      <sz val="11"/>
      <name val="Calibri"/>
      <family val="2"/>
      <scheme val="minor"/>
    </font>
    <font>
      <sz val="12"/>
      <color theme="1"/>
      <name val="Times New Roman"/>
      <family val="1"/>
      <charset val="204"/>
    </font>
    <font>
      <b/>
      <sz val="14"/>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
      <sz val="11"/>
      <color theme="1"/>
      <name val="Calibri"/>
      <family val="2"/>
      <scheme val="minor"/>
    </font>
    <font>
      <sz val="10"/>
      <color rgb="FF000000"/>
      <name val="Arial"/>
      <family val="2"/>
      <charset val="204"/>
    </font>
    <font>
      <u/>
      <sz val="10"/>
      <color theme="10"/>
      <name val="Arial"/>
      <family val="2"/>
      <charset val="204"/>
    </font>
    <font>
      <sz val="10"/>
      <name val="Arial"/>
      <family val="2"/>
      <charset val="204"/>
    </font>
    <font>
      <b/>
      <sz val="10"/>
      <color rgb="FFFF0000"/>
      <name val="Arial"/>
      <family val="2"/>
      <charset val="204"/>
    </font>
    <font>
      <sz val="10"/>
      <color theme="1"/>
      <name val="Arial"/>
      <family val="2"/>
      <charset val="204"/>
    </font>
    <font>
      <b/>
      <sz val="10"/>
      <color theme="1"/>
      <name val="Arial"/>
      <family val="2"/>
      <charset val="204"/>
    </font>
    <font>
      <b/>
      <sz val="10"/>
      <color rgb="FF005591"/>
      <name val="Arial"/>
      <family val="2"/>
      <charset val="204"/>
    </font>
    <font>
      <b/>
      <sz val="10"/>
      <name val="Arial"/>
      <family val="2"/>
      <charset val="204"/>
    </font>
    <font>
      <sz val="7.5"/>
      <color theme="1"/>
      <name val="Arial"/>
      <family val="2"/>
      <charset val="204"/>
    </font>
    <font>
      <sz val="7.5"/>
      <name val="Arial"/>
      <family val="2"/>
      <charset val="204"/>
    </font>
    <font>
      <b/>
      <i/>
      <sz val="10"/>
      <color theme="1"/>
      <name val="Arial"/>
      <family val="2"/>
      <charset val="204"/>
    </font>
    <font>
      <sz val="10"/>
      <color theme="0"/>
      <name val="Arial"/>
      <family val="2"/>
      <charset val="204"/>
    </font>
    <font>
      <i/>
      <sz val="7.5"/>
      <color rgb="FF7D0532"/>
      <name val="Arial"/>
      <family val="2"/>
      <charset val="204"/>
    </font>
    <font>
      <b/>
      <sz val="10"/>
      <color rgb="FF7D0532"/>
      <name val="Arial"/>
      <family val="2"/>
      <charset val="204"/>
    </font>
    <font>
      <sz val="10"/>
      <name val="Arial Narrow"/>
      <family val="2"/>
      <charset val="204"/>
    </font>
    <font>
      <sz val="10"/>
      <color rgb="FF7D0532"/>
      <name val="Arial"/>
      <family val="2"/>
      <charset val="204"/>
    </font>
    <font>
      <b/>
      <sz val="7.5"/>
      <color rgb="FF7D0532"/>
      <name val="Arial"/>
      <family val="2"/>
      <charset val="204"/>
    </font>
    <font>
      <b/>
      <i/>
      <sz val="10"/>
      <color rgb="FF005591"/>
      <name val="Arial"/>
      <family val="2"/>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E5A9B4"/>
        <bgColor indexed="64"/>
      </patternFill>
    </fill>
    <fill>
      <patternFill patternType="solid">
        <fgColor rgb="FFB5DEF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46AFE6"/>
      </bottom>
      <diagonal/>
    </border>
    <border>
      <left style="dotted">
        <color rgb="FF46AFE6"/>
      </left>
      <right style="dotted">
        <color rgb="FF46AFE6"/>
      </right>
      <top style="dotted">
        <color rgb="FF46AFE6"/>
      </top>
      <bottom style="dotted">
        <color rgb="FF46AFE6"/>
      </bottom>
      <diagonal/>
    </border>
    <border>
      <left style="dotted">
        <color rgb="FF46AFE6"/>
      </left>
      <right style="dotted">
        <color rgb="FF46AFE6"/>
      </right>
      <top/>
      <bottom/>
      <diagonal/>
    </border>
    <border>
      <left style="dotted">
        <color rgb="FF46AFE6"/>
      </left>
      <right style="dotted">
        <color rgb="FF46AFE6"/>
      </right>
      <top/>
      <bottom style="dotted">
        <color rgb="FF46AFE6"/>
      </bottom>
      <diagonal/>
    </border>
    <border>
      <left/>
      <right style="dotted">
        <color rgb="FF46AFE6"/>
      </right>
      <top style="dotted">
        <color rgb="FF46AFE6"/>
      </top>
      <bottom/>
      <diagonal/>
    </border>
    <border>
      <left style="dotted">
        <color rgb="FF46AFE6"/>
      </left>
      <right style="dotted">
        <color rgb="FF46AFE6"/>
      </right>
      <top style="dotted">
        <color rgb="FF46AFE6"/>
      </top>
      <bottom/>
      <diagonal/>
    </border>
    <border>
      <left/>
      <right style="dotted">
        <color rgb="FF46AFE6"/>
      </right>
      <top style="dotted">
        <color rgb="FF46AFE6"/>
      </top>
      <bottom style="dotted">
        <color rgb="FF46AFE6"/>
      </bottom>
      <diagonal/>
    </border>
    <border>
      <left/>
      <right style="dotted">
        <color rgb="FF46AFE6"/>
      </right>
      <top/>
      <bottom style="dotted">
        <color rgb="FF46AFE6"/>
      </bottom>
      <diagonal/>
    </border>
    <border>
      <left style="dotted">
        <color rgb="FF46AFE6"/>
      </left>
      <right/>
      <top/>
      <bottom/>
      <diagonal/>
    </border>
    <border>
      <left style="dotted">
        <color rgb="FF46AFE6"/>
      </left>
      <right/>
      <top style="dotted">
        <color rgb="FF46AFE6"/>
      </top>
      <bottom/>
      <diagonal/>
    </border>
    <border>
      <left/>
      <right style="dotted">
        <color rgb="FF46AFE6"/>
      </right>
      <top/>
      <bottom/>
      <diagonal/>
    </border>
    <border>
      <left/>
      <right/>
      <top style="thin">
        <color rgb="FF46AFE6"/>
      </top>
      <bottom/>
      <diagonal/>
    </border>
    <border>
      <left style="dotted">
        <color rgb="FF46AFE6"/>
      </left>
      <right style="dotted">
        <color rgb="FF46AFE6"/>
      </right>
      <top style="thin">
        <color rgb="FF46AFE6"/>
      </top>
      <bottom style="dotted">
        <color rgb="FF46AFE6"/>
      </bottom>
      <diagonal/>
    </border>
    <border>
      <left style="dotted">
        <color rgb="FF46AFE6"/>
      </left>
      <right/>
      <top/>
      <bottom style="dotted">
        <color rgb="FF46AFE6"/>
      </bottom>
      <diagonal/>
    </border>
    <border>
      <left/>
      <right/>
      <top style="dotted">
        <color rgb="FF46AFE6"/>
      </top>
      <bottom style="dotted">
        <color rgb="FF46AFE6"/>
      </bottom>
      <diagonal/>
    </border>
    <border>
      <left style="dotted">
        <color rgb="FF46AFE6"/>
      </left>
      <right/>
      <top style="dotted">
        <color rgb="FF46AFE6"/>
      </top>
      <bottom style="dotted">
        <color rgb="FF46AFE6"/>
      </bottom>
      <diagonal/>
    </border>
    <border>
      <left/>
      <right/>
      <top style="dotted">
        <color rgb="FF46AFE6"/>
      </top>
      <bottom/>
      <diagonal/>
    </border>
    <border>
      <left/>
      <right/>
      <top style="thin">
        <color rgb="FF46AFE6"/>
      </top>
      <bottom style="thin">
        <color rgb="FF46AFE6"/>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s>
  <cellStyleXfs count="9">
    <xf numFmtId="0" fontId="0" fillId="0" borderId="0"/>
    <xf numFmtId="9" fontId="12" fillId="0" borderId="0" applyFont="0" applyFill="0" applyBorder="0" applyAlignment="0" applyProtection="0"/>
    <xf numFmtId="0" fontId="13" fillId="0" borderId="0"/>
    <xf numFmtId="0" fontId="14" fillId="0" borderId="0" applyNumberFormat="0" applyFill="0" applyBorder="0" applyAlignment="0" applyProtection="0"/>
    <xf numFmtId="0" fontId="13" fillId="0" borderId="0"/>
    <xf numFmtId="0" fontId="1" fillId="0" borderId="0"/>
    <xf numFmtId="165" fontId="27" fillId="0" borderId="33">
      <alignment horizontal="center" vertical="center"/>
    </xf>
    <xf numFmtId="9" fontId="1" fillId="0" borderId="0" applyFont="0" applyFill="0" applyBorder="0" applyAlignment="0" applyProtection="0"/>
    <xf numFmtId="0" fontId="13" fillId="0" borderId="0"/>
  </cellStyleXfs>
  <cellXfs count="233">
    <xf numFmtId="0" fontId="0" fillId="0" borderId="0" xfId="0"/>
    <xf numFmtId="14" fontId="0" fillId="0" borderId="0" xfId="0" applyNumberFormat="1"/>
    <xf numFmtId="0" fontId="0" fillId="3" borderId="0" xfId="0" applyFill="1"/>
    <xf numFmtId="14" fontId="0" fillId="3" borderId="0" xfId="0" applyNumberFormat="1" applyFill="1"/>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xf>
    <xf numFmtId="0" fontId="6" fillId="0" borderId="0" xfId="0" applyFont="1" applyAlignment="1">
      <alignment wrapText="1"/>
    </xf>
    <xf numFmtId="0" fontId="6" fillId="0" borderId="0" xfId="0" applyFont="1"/>
    <xf numFmtId="0" fontId="7" fillId="0" borderId="1" xfId="0" applyFont="1" applyBorder="1"/>
    <xf numFmtId="3" fontId="7" fillId="0" borderId="1" xfId="0" applyNumberFormat="1" applyFont="1" applyFill="1" applyBorder="1"/>
    <xf numFmtId="10" fontId="7" fillId="0" borderId="1" xfId="0" applyNumberFormat="1" applyFont="1" applyFill="1" applyBorder="1"/>
    <xf numFmtId="0" fontId="7" fillId="0" borderId="1" xfId="0" applyFont="1" applyFill="1" applyBorder="1" applyAlignment="1">
      <alignment horizontal="center"/>
    </xf>
    <xf numFmtId="3" fontId="7" fillId="0" borderId="1" xfId="0" applyNumberFormat="1" applyFont="1" applyFill="1" applyBorder="1" applyAlignment="1">
      <alignment horizontal="center"/>
    </xf>
    <xf numFmtId="0" fontId="7" fillId="2" borderId="1" xfId="0" applyFont="1" applyFill="1" applyBorder="1" applyAlignment="1">
      <alignment horizontal="center"/>
    </xf>
    <xf numFmtId="0" fontId="7" fillId="0" borderId="0" xfId="0" applyFont="1"/>
    <xf numFmtId="0" fontId="0" fillId="0" borderId="0" xfId="0" applyFill="1"/>
    <xf numFmtId="0" fontId="7" fillId="0" borderId="1" xfId="0" applyFont="1" applyFill="1" applyBorder="1"/>
    <xf numFmtId="0" fontId="5" fillId="0" borderId="4" xfId="0" applyFont="1" applyBorder="1" applyAlignment="1">
      <alignment horizontal="center" vertical="center"/>
    </xf>
    <xf numFmtId="10" fontId="7" fillId="0" borderId="4" xfId="0" applyNumberFormat="1" applyFont="1" applyFill="1" applyBorder="1"/>
    <xf numFmtId="0" fontId="5" fillId="0" borderId="6" xfId="0" applyFont="1" applyBorder="1" applyAlignment="1">
      <alignment horizontal="center" vertical="center"/>
    </xf>
    <xf numFmtId="3" fontId="7" fillId="0" borderId="6" xfId="0" applyNumberFormat="1" applyFont="1" applyFill="1" applyBorder="1" applyAlignment="1">
      <alignment horizontal="center"/>
    </xf>
    <xf numFmtId="0" fontId="8" fillId="5" borderId="8" xfId="0" applyFont="1" applyFill="1" applyBorder="1" applyAlignment="1">
      <alignment horizontal="center" vertical="center"/>
    </xf>
    <xf numFmtId="3" fontId="9" fillId="5" borderId="8" xfId="0" applyNumberFormat="1" applyFont="1" applyFill="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3" fontId="0" fillId="0" borderId="0" xfId="0" applyNumberFormat="1"/>
    <xf numFmtId="0" fontId="17" fillId="6" borderId="0" xfId="0" applyFont="1" applyFill="1"/>
    <xf numFmtId="0" fontId="17" fillId="6" borderId="0" xfId="0" quotePrefix="1" applyFont="1" applyFill="1"/>
    <xf numFmtId="0" fontId="17" fillId="6" borderId="1" xfId="0" applyFont="1" applyFill="1" applyBorder="1"/>
    <xf numFmtId="3" fontId="17" fillId="6" borderId="1" xfId="0" applyNumberFormat="1" applyFont="1" applyFill="1" applyBorder="1"/>
    <xf numFmtId="0" fontId="18" fillId="6" borderId="0" xfId="0" applyFont="1" applyFill="1"/>
    <xf numFmtId="0" fontId="17" fillId="6" borderId="0" xfId="0" applyFont="1" applyFill="1" applyBorder="1"/>
    <xf numFmtId="164" fontId="17" fillId="6" borderId="0" xfId="1" applyNumberFormat="1" applyFont="1" applyFill="1" applyBorder="1"/>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9" fillId="6" borderId="0" xfId="0" applyFont="1" applyFill="1"/>
    <xf numFmtId="0" fontId="17" fillId="6" borderId="15" xfId="0" applyFont="1" applyFill="1" applyBorder="1"/>
    <xf numFmtId="0" fontId="17" fillId="6" borderId="15" xfId="0" applyFont="1" applyFill="1" applyBorder="1" applyAlignment="1">
      <alignment horizontal="right"/>
    </xf>
    <xf numFmtId="164" fontId="17" fillId="6" borderId="16" xfId="1" applyNumberFormat="1" applyFont="1" applyFill="1" applyBorder="1"/>
    <xf numFmtId="164" fontId="17" fillId="6" borderId="17" xfId="1" applyNumberFormat="1" applyFont="1" applyFill="1" applyBorder="1"/>
    <xf numFmtId="164" fontId="17" fillId="6" borderId="18" xfId="1" applyNumberFormat="1" applyFont="1" applyFill="1" applyBorder="1"/>
    <xf numFmtId="3" fontId="17" fillId="6" borderId="16" xfId="0" applyNumberFormat="1" applyFont="1" applyFill="1" applyBorder="1"/>
    <xf numFmtId="164" fontId="17" fillId="6" borderId="21" xfId="1" applyNumberFormat="1" applyFont="1" applyFill="1" applyBorder="1"/>
    <xf numFmtId="3" fontId="17" fillId="6" borderId="19" xfId="0" applyNumberFormat="1" applyFont="1" applyFill="1" applyBorder="1"/>
    <xf numFmtId="3" fontId="17" fillId="6" borderId="21" xfId="0" applyNumberFormat="1" applyFont="1" applyFill="1" applyBorder="1"/>
    <xf numFmtId="164" fontId="17" fillId="6" borderId="23" xfId="1" applyNumberFormat="1" applyFont="1" applyFill="1" applyBorder="1"/>
    <xf numFmtId="0" fontId="17" fillId="6" borderId="24" xfId="0" applyFont="1" applyFill="1" applyBorder="1"/>
    <xf numFmtId="0" fontId="17" fillId="6" borderId="16" xfId="0" applyFont="1" applyFill="1" applyBorder="1"/>
    <xf numFmtId="0" fontId="17" fillId="6" borderId="25" xfId="0" applyFont="1" applyFill="1" applyBorder="1"/>
    <xf numFmtId="3" fontId="17" fillId="6" borderId="17" xfId="0" applyNumberFormat="1" applyFont="1" applyFill="1" applyBorder="1"/>
    <xf numFmtId="0" fontId="17" fillId="6" borderId="23" xfId="0" applyFont="1" applyFill="1" applyBorder="1"/>
    <xf numFmtId="0" fontId="15" fillId="6" borderId="28" xfId="0" applyFont="1" applyFill="1" applyBorder="1" applyAlignment="1">
      <alignment horizontal="left" vertical="center" wrapText="1"/>
    </xf>
    <xf numFmtId="3" fontId="17" fillId="6" borderId="16" xfId="1" applyNumberFormat="1" applyFont="1" applyFill="1" applyBorder="1"/>
    <xf numFmtId="0" fontId="15" fillId="6" borderId="24" xfId="0" applyFont="1" applyFill="1" applyBorder="1" applyAlignment="1">
      <alignment horizontal="left" vertical="center" wrapText="1"/>
    </xf>
    <xf numFmtId="0" fontId="15" fillId="6" borderId="30" xfId="0" applyFont="1" applyFill="1" applyBorder="1" applyAlignment="1">
      <alignment horizontal="left" vertical="center" wrapText="1"/>
    </xf>
    <xf numFmtId="3" fontId="17" fillId="6" borderId="23" xfId="0" applyNumberFormat="1" applyFont="1" applyFill="1" applyBorder="1"/>
    <xf numFmtId="3" fontId="17" fillId="6" borderId="0" xfId="0" applyNumberFormat="1" applyFont="1" applyFill="1" applyBorder="1"/>
    <xf numFmtId="0" fontId="18" fillId="6" borderId="0" xfId="0" applyFont="1" applyFill="1" applyAlignment="1">
      <alignment wrapText="1"/>
    </xf>
    <xf numFmtId="0" fontId="18" fillId="6" borderId="0" xfId="0" applyFont="1" applyFill="1" applyAlignment="1">
      <alignment vertical="center" wrapText="1"/>
    </xf>
    <xf numFmtId="0" fontId="18" fillId="6" borderId="15" xfId="0" applyFont="1" applyFill="1" applyBorder="1" applyAlignment="1">
      <alignment horizontal="center" vertical="center"/>
    </xf>
    <xf numFmtId="0" fontId="17" fillId="6" borderId="15" xfId="0" applyFont="1" applyFill="1" applyBorder="1" applyAlignment="1">
      <alignment horizontal="right" vertical="center"/>
    </xf>
    <xf numFmtId="0" fontId="16" fillId="6" borderId="0" xfId="3" quotePrefix="1" applyFont="1" applyFill="1" applyAlignment="1">
      <alignment wrapText="1"/>
    </xf>
    <xf numFmtId="164" fontId="17" fillId="6" borderId="1" xfId="0" applyNumberFormat="1" applyFont="1" applyFill="1" applyBorder="1"/>
    <xf numFmtId="0" fontId="17" fillId="6" borderId="1" xfId="0" applyFont="1" applyFill="1" applyBorder="1" applyAlignment="1">
      <alignment vertical="center" wrapText="1"/>
    </xf>
    <xf numFmtId="0" fontId="17" fillId="6" borderId="1" xfId="0" applyFont="1" applyFill="1" applyBorder="1" applyAlignment="1">
      <alignment vertical="top" wrapText="1"/>
    </xf>
    <xf numFmtId="0" fontId="14" fillId="6" borderId="0" xfId="3" quotePrefix="1" applyFont="1" applyFill="1"/>
    <xf numFmtId="3" fontId="17" fillId="6" borderId="0" xfId="0" applyNumberFormat="1" applyFont="1" applyFill="1"/>
    <xf numFmtId="0" fontId="17" fillId="6" borderId="1" xfId="0" quotePrefix="1" applyFont="1" applyFill="1" applyBorder="1"/>
    <xf numFmtId="0" fontId="17" fillId="6" borderId="31" xfId="0" applyFont="1" applyFill="1" applyBorder="1"/>
    <xf numFmtId="0" fontId="15" fillId="6" borderId="16" xfId="0" applyFont="1" applyFill="1" applyBorder="1" applyAlignment="1">
      <alignment horizontal="left" vertical="center" wrapText="1"/>
    </xf>
    <xf numFmtId="0" fontId="20" fillId="6" borderId="0" xfId="0" applyFont="1" applyFill="1" applyBorder="1" applyAlignment="1">
      <alignment vertical="center"/>
    </xf>
    <xf numFmtId="0" fontId="15" fillId="0" borderId="2" xfId="0" applyFont="1" applyFill="1" applyBorder="1" applyAlignment="1">
      <alignment horizontal="center" vertical="center" wrapText="1"/>
    </xf>
    <xf numFmtId="0" fontId="22" fillId="6" borderId="0" xfId="0" applyFont="1" applyFill="1" applyBorder="1" applyAlignment="1">
      <alignment horizontal="left" vertical="center"/>
    </xf>
    <xf numFmtId="0" fontId="21" fillId="6" borderId="0" xfId="0" applyFont="1" applyFill="1" applyAlignment="1">
      <alignment horizontal="right" vertical="center"/>
    </xf>
    <xf numFmtId="0" fontId="22" fillId="0" borderId="0" xfId="0" applyFont="1" applyFill="1" applyBorder="1" applyAlignment="1">
      <alignment horizontal="left" vertical="center"/>
    </xf>
    <xf numFmtId="0" fontId="18" fillId="0" borderId="0" xfId="0" applyFont="1" applyFill="1"/>
    <xf numFmtId="3" fontId="17" fillId="6" borderId="0" xfId="1" applyNumberFormat="1" applyFont="1" applyFill="1" applyBorder="1"/>
    <xf numFmtId="0" fontId="17" fillId="7" borderId="16" xfId="0" applyFont="1" applyFill="1" applyBorder="1" applyAlignment="1">
      <alignment vertical="center" wrapText="1"/>
    </xf>
    <xf numFmtId="0" fontId="20" fillId="6" borderId="0" xfId="3" quotePrefix="1" applyFont="1" applyFill="1" applyAlignment="1">
      <alignment wrapText="1"/>
    </xf>
    <xf numFmtId="0" fontId="20" fillId="6" borderId="0" xfId="3" quotePrefix="1" applyFont="1" applyFill="1" applyAlignment="1">
      <alignment horizontal="left"/>
    </xf>
    <xf numFmtId="1" fontId="17" fillId="6" borderId="1" xfId="0" applyNumberFormat="1" applyFont="1" applyFill="1" applyBorder="1"/>
    <xf numFmtId="3" fontId="17" fillId="6" borderId="1" xfId="0" applyNumberFormat="1" applyFont="1" applyFill="1" applyBorder="1" applyAlignment="1">
      <alignment vertical="center" wrapText="1"/>
    </xf>
    <xf numFmtId="164" fontId="17" fillId="6" borderId="0" xfId="0" applyNumberFormat="1" applyFont="1" applyFill="1"/>
    <xf numFmtId="164" fontId="17" fillId="6" borderId="0" xfId="0" applyNumberFormat="1" applyFont="1" applyFill="1" applyBorder="1"/>
    <xf numFmtId="0" fontId="17" fillId="6" borderId="1" xfId="0" applyFont="1" applyFill="1" applyBorder="1" applyAlignment="1">
      <alignment horizontal="right"/>
    </xf>
    <xf numFmtId="3" fontId="17" fillId="0" borderId="1" xfId="0" applyNumberFormat="1" applyFont="1" applyFill="1" applyBorder="1"/>
    <xf numFmtId="0" fontId="17" fillId="7" borderId="30" xfId="0" applyFont="1" applyFill="1" applyBorder="1" applyAlignment="1">
      <alignment vertical="center" wrapText="1"/>
    </xf>
    <xf numFmtId="9" fontId="17" fillId="6" borderId="16" xfId="0" applyNumberFormat="1" applyFont="1" applyFill="1" applyBorder="1"/>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23" fillId="6" borderId="0" xfId="0" applyFont="1" applyFill="1" applyAlignment="1">
      <alignment horizontal="right"/>
    </xf>
    <xf numFmtId="0" fontId="22" fillId="6" borderId="0" xfId="0" applyFont="1" applyFill="1"/>
    <xf numFmtId="9" fontId="17" fillId="6" borderId="18" xfId="0" applyNumberFormat="1" applyFont="1" applyFill="1" applyBorder="1"/>
    <xf numFmtId="3" fontId="17" fillId="6" borderId="18" xfId="0" applyNumberFormat="1" applyFont="1" applyFill="1" applyBorder="1"/>
    <xf numFmtId="0" fontId="24" fillId="6" borderId="0" xfId="0" applyFont="1" applyFill="1" applyBorder="1" applyAlignment="1"/>
    <xf numFmtId="0" fontId="24" fillId="6" borderId="0" xfId="0" applyFont="1" applyFill="1" applyAlignment="1"/>
    <xf numFmtId="0" fontId="25" fillId="6" borderId="0" xfId="0" applyFont="1" applyFill="1"/>
    <xf numFmtId="0" fontId="15" fillId="6" borderId="1" xfId="0" applyFont="1" applyFill="1" applyBorder="1" applyAlignment="1">
      <alignment horizontal="center" vertical="center" wrapText="1"/>
    </xf>
    <xf numFmtId="0" fontId="24" fillId="6" borderId="0" xfId="0" applyFont="1" applyFill="1"/>
    <xf numFmtId="0" fontId="26" fillId="6" borderId="0" xfId="0" applyFont="1" applyFill="1"/>
    <xf numFmtId="0" fontId="17" fillId="6" borderId="1" xfId="0" applyFont="1" applyFill="1" applyBorder="1" applyAlignment="1">
      <alignment horizontal="center" vertical="center"/>
    </xf>
    <xf numFmtId="164" fontId="17" fillId="6" borderId="1" xfId="1" applyNumberFormat="1" applyFont="1" applyFill="1" applyBorder="1"/>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3" fontId="28" fillId="8" borderId="1" xfId="0" applyNumberFormat="1" applyFont="1" applyFill="1" applyBorder="1"/>
    <xf numFmtId="0" fontId="17" fillId="6" borderId="0" xfId="0" quotePrefix="1" applyFont="1" applyFill="1" applyBorder="1"/>
    <xf numFmtId="0" fontId="17" fillId="6" borderId="1" xfId="0" applyFont="1" applyFill="1" applyBorder="1" applyAlignment="1">
      <alignment horizontal="center" vertical="center"/>
    </xf>
    <xf numFmtId="3" fontId="17" fillId="7" borderId="16" xfId="0" applyNumberFormat="1" applyFont="1" applyFill="1" applyBorder="1" applyAlignment="1">
      <alignment horizontal="center" vertical="center"/>
    </xf>
    <xf numFmtId="0" fontId="26" fillId="6" borderId="0" xfId="0" applyFont="1" applyFill="1" applyAlignment="1">
      <alignment horizontal="left" vertical="center"/>
    </xf>
    <xf numFmtId="164" fontId="17" fillId="6" borderId="0" xfId="1" applyNumberFormat="1" applyFont="1" applyFill="1"/>
    <xf numFmtId="164" fontId="17" fillId="6" borderId="19" xfId="1" applyNumberFormat="1" applyFont="1" applyFill="1" applyBorder="1"/>
    <xf numFmtId="0" fontId="19" fillId="9" borderId="0"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21" fillId="9" borderId="0" xfId="0" applyFont="1" applyFill="1" applyAlignment="1">
      <alignment horizontal="right" vertical="center"/>
    </xf>
    <xf numFmtId="0" fontId="22" fillId="9" borderId="0" xfId="0" applyFont="1" applyFill="1" applyBorder="1" applyAlignment="1">
      <alignment horizontal="left" vertical="center"/>
    </xf>
    <xf numFmtId="0" fontId="19" fillId="9" borderId="15" xfId="0" applyFont="1" applyFill="1" applyBorder="1" applyAlignment="1">
      <alignment horizontal="right"/>
    </xf>
    <xf numFmtId="0" fontId="19" fillId="9" borderId="15" xfId="0" applyFont="1" applyFill="1" applyBorder="1" applyAlignment="1">
      <alignment horizontal="right" vertical="center" wrapText="1"/>
    </xf>
    <xf numFmtId="0" fontId="19" fillId="9" borderId="26" xfId="0" applyFont="1" applyFill="1" applyBorder="1" applyAlignment="1">
      <alignment horizontal="right" vertical="center" wrapText="1"/>
    </xf>
    <xf numFmtId="0" fontId="22" fillId="9" borderId="15" xfId="0" applyFont="1" applyFill="1" applyBorder="1" applyAlignment="1">
      <alignment horizontal="left" vertical="center"/>
    </xf>
    <xf numFmtId="0" fontId="21" fillId="9" borderId="15" xfId="0" applyFont="1" applyFill="1" applyBorder="1" applyAlignment="1">
      <alignment horizontal="right" vertical="center"/>
    </xf>
    <xf numFmtId="0" fontId="21" fillId="9" borderId="32" xfId="0" applyFont="1" applyFill="1" applyBorder="1" applyAlignment="1">
      <alignment horizontal="right" vertical="center"/>
    </xf>
    <xf numFmtId="0" fontId="30" fillId="9" borderId="26" xfId="0" applyFont="1" applyFill="1" applyBorder="1" applyAlignment="1">
      <alignment horizontal="right" vertical="center" wrapText="1"/>
    </xf>
    <xf numFmtId="0" fontId="30" fillId="9" borderId="15" xfId="0" applyFont="1" applyFill="1" applyBorder="1" applyAlignment="1">
      <alignment horizontal="right" vertical="center" wrapText="1"/>
    </xf>
    <xf numFmtId="0" fontId="29" fillId="6" borderId="0" xfId="0" applyFont="1" applyFill="1" applyAlignment="1">
      <alignment vertical="top" wrapText="1"/>
    </xf>
    <xf numFmtId="0" fontId="22" fillId="9" borderId="32" xfId="0" applyFont="1" applyFill="1" applyBorder="1" applyAlignment="1">
      <alignment horizontal="left" vertical="center"/>
    </xf>
    <xf numFmtId="0" fontId="15" fillId="6" borderId="1" xfId="0" applyFont="1" applyFill="1" applyBorder="1"/>
    <xf numFmtId="0" fontId="15" fillId="6" borderId="1" xfId="0" quotePrefix="1" applyFont="1" applyFill="1" applyBorder="1"/>
    <xf numFmtId="3" fontId="15" fillId="6" borderId="1" xfId="0" applyNumberFormat="1" applyFont="1" applyFill="1" applyBorder="1"/>
    <xf numFmtId="0" fontId="15" fillId="6" borderId="1" xfId="0" applyFont="1" applyFill="1" applyBorder="1" applyAlignment="1">
      <alignment horizontal="center" vertical="center"/>
    </xf>
    <xf numFmtId="0" fontId="15" fillId="6" borderId="0" xfId="0" applyFont="1" applyFill="1"/>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xf>
    <xf numFmtId="164" fontId="17" fillId="6" borderId="21" xfId="1" applyNumberFormat="1" applyFont="1" applyFill="1" applyBorder="1" applyAlignment="1">
      <alignment horizontal="right"/>
    </xf>
    <xf numFmtId="14" fontId="17" fillId="6" borderId="1" xfId="0" applyNumberFormat="1" applyFont="1" applyFill="1" applyBorder="1"/>
    <xf numFmtId="164" fontId="17" fillId="6" borderId="1" xfId="1" applyNumberFormat="1" applyFont="1" applyFill="1" applyBorder="1" applyAlignment="1">
      <alignment horizontal="right"/>
    </xf>
    <xf numFmtId="14" fontId="17" fillId="6" borderId="1" xfId="1" applyNumberFormat="1" applyFont="1" applyFill="1" applyBorder="1"/>
    <xf numFmtId="1" fontId="17" fillId="7" borderId="16" xfId="1" applyNumberFormat="1" applyFont="1" applyFill="1" applyBorder="1" applyAlignment="1">
      <alignment horizontal="center" vertical="center"/>
    </xf>
    <xf numFmtId="3" fontId="17" fillId="6" borderId="25" xfId="0" applyNumberFormat="1" applyFont="1" applyFill="1" applyBorder="1" applyAlignment="1">
      <alignment horizontal="right"/>
    </xf>
    <xf numFmtId="3" fontId="17" fillId="6" borderId="17" xfId="0" applyNumberFormat="1" applyFont="1" applyFill="1" applyBorder="1" applyAlignment="1">
      <alignment horizontal="right"/>
    </xf>
    <xf numFmtId="3" fontId="17" fillId="7" borderId="21" xfId="0" applyNumberFormat="1" applyFont="1" applyFill="1" applyBorder="1" applyAlignment="1">
      <alignment horizontal="right"/>
    </xf>
    <xf numFmtId="3" fontId="17" fillId="7" borderId="20" xfId="0" applyNumberFormat="1" applyFont="1" applyFill="1" applyBorder="1" applyAlignment="1">
      <alignment horizontal="right"/>
    </xf>
    <xf numFmtId="3" fontId="17" fillId="7" borderId="16" xfId="0" applyNumberFormat="1" applyFont="1" applyFill="1" applyBorder="1" applyAlignment="1">
      <alignment horizontal="right"/>
    </xf>
    <xf numFmtId="164" fontId="17" fillId="6" borderId="16" xfId="1" applyNumberFormat="1" applyFont="1" applyFill="1" applyBorder="1" applyAlignment="1">
      <alignment horizontal="right"/>
    </xf>
    <xf numFmtId="164" fontId="17" fillId="6" borderId="18" xfId="1" applyNumberFormat="1" applyFont="1" applyFill="1" applyBorder="1" applyAlignment="1">
      <alignment horizontal="right"/>
    </xf>
    <xf numFmtId="164" fontId="26" fillId="6" borderId="21" xfId="1" applyNumberFormat="1" applyFont="1" applyFill="1" applyBorder="1" applyAlignment="1">
      <alignment horizontal="right"/>
    </xf>
    <xf numFmtId="164" fontId="17" fillId="7" borderId="22" xfId="1" applyNumberFormat="1" applyFont="1" applyFill="1" applyBorder="1" applyAlignment="1">
      <alignment horizontal="right"/>
    </xf>
    <xf numFmtId="164" fontId="17" fillId="7" borderId="18" xfId="1" applyNumberFormat="1" applyFont="1" applyFill="1" applyBorder="1" applyAlignment="1">
      <alignment horizontal="right"/>
    </xf>
    <xf numFmtId="164" fontId="17" fillId="7" borderId="16" xfId="1" applyNumberFormat="1" applyFont="1" applyFill="1" applyBorder="1" applyAlignment="1">
      <alignment horizontal="right"/>
    </xf>
    <xf numFmtId="164" fontId="26" fillId="7" borderId="16" xfId="1" applyNumberFormat="1" applyFont="1" applyFill="1" applyBorder="1" applyAlignment="1">
      <alignment horizontal="right"/>
    </xf>
    <xf numFmtId="164" fontId="17" fillId="6" borderId="22" xfId="1" applyNumberFormat="1" applyFont="1" applyFill="1" applyBorder="1" applyAlignment="1">
      <alignment horizontal="right"/>
    </xf>
    <xf numFmtId="3" fontId="17" fillId="6" borderId="17" xfId="0" applyNumberFormat="1" applyFont="1" applyFill="1" applyBorder="1" applyAlignment="1">
      <alignment horizontal="center" vertical="center"/>
    </xf>
    <xf numFmtId="164" fontId="17" fillId="6" borderId="22" xfId="1" applyNumberFormat="1" applyFont="1" applyFill="1" applyBorder="1" applyAlignment="1">
      <alignment horizontal="center" vertical="center"/>
    </xf>
    <xf numFmtId="0" fontId="17" fillId="6" borderId="27" xfId="0" applyFont="1" applyFill="1" applyBorder="1" applyAlignment="1">
      <alignment horizontal="left"/>
    </xf>
    <xf numFmtId="0" fontId="17" fillId="7" borderId="20" xfId="0" applyFont="1" applyFill="1" applyBorder="1" applyAlignment="1">
      <alignment horizontal="left"/>
    </xf>
    <xf numFmtId="0" fontId="17" fillId="6" borderId="16" xfId="0" applyFont="1" applyFill="1" applyBorder="1" applyAlignment="1">
      <alignment horizontal="left"/>
    </xf>
    <xf numFmtId="0" fontId="17" fillId="7" borderId="18" xfId="0" applyFont="1" applyFill="1" applyBorder="1" applyAlignment="1">
      <alignment horizontal="left"/>
    </xf>
    <xf numFmtId="0" fontId="17" fillId="6" borderId="18" xfId="0" applyFont="1" applyFill="1" applyBorder="1" applyAlignment="1">
      <alignment horizontal="left" wrapText="1"/>
    </xf>
    <xf numFmtId="166" fontId="17" fillId="7" borderId="16" xfId="1" applyNumberFormat="1" applyFont="1" applyFill="1" applyBorder="1" applyAlignment="1">
      <alignment horizontal="right" vertical="center"/>
    </xf>
    <xf numFmtId="164" fontId="15" fillId="7" borderId="16" xfId="1" applyNumberFormat="1" applyFont="1" applyFill="1" applyBorder="1" applyAlignment="1">
      <alignment horizontal="left" vertical="center" wrapText="1"/>
    </xf>
    <xf numFmtId="0" fontId="22" fillId="0" borderId="0" xfId="0" applyFont="1" applyFill="1" applyAlignment="1">
      <alignment horizontal="left"/>
    </xf>
    <xf numFmtId="164" fontId="15" fillId="6" borderId="1" xfId="1" applyNumberFormat="1" applyFont="1" applyFill="1" applyBorder="1"/>
    <xf numFmtId="10" fontId="17" fillId="6" borderId="1" xfId="1" applyNumberFormat="1" applyFont="1" applyFill="1" applyBorder="1"/>
    <xf numFmtId="10" fontId="15" fillId="0" borderId="1" xfId="1" applyNumberFormat="1" applyFont="1" applyFill="1" applyBorder="1"/>
    <xf numFmtId="0" fontId="19" fillId="9" borderId="26"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19" fillId="9" borderId="15" xfId="0" applyFont="1" applyFill="1" applyBorder="1" applyAlignment="1">
      <alignment horizontal="center" vertical="center" wrapText="1"/>
    </xf>
    <xf numFmtId="164" fontId="18" fillId="6" borderId="0" xfId="0" applyNumberFormat="1" applyFont="1" applyFill="1" applyAlignment="1">
      <alignment horizontal="center" vertical="center" wrapText="1"/>
    </xf>
    <xf numFmtId="0" fontId="18" fillId="6" borderId="0" xfId="0" applyFont="1" applyFill="1" applyAlignment="1">
      <alignment horizontal="center" vertical="center"/>
    </xf>
    <xf numFmtId="0" fontId="19" fillId="9" borderId="0" xfId="0" applyFont="1" applyFill="1" applyBorder="1" applyAlignment="1">
      <alignment horizontal="center" vertical="center"/>
    </xf>
    <xf numFmtId="0" fontId="29" fillId="6" borderId="0" xfId="0" applyFont="1" applyFill="1" applyAlignment="1">
      <alignment horizontal="left" wrapText="1"/>
    </xf>
    <xf numFmtId="0" fontId="19" fillId="9" borderId="26" xfId="0" applyFont="1" applyFill="1" applyBorder="1" applyAlignment="1">
      <alignment horizontal="center" vertical="center"/>
    </xf>
    <xf numFmtId="0" fontId="18" fillId="6" borderId="0" xfId="0" applyFont="1" applyFill="1" applyAlignment="1">
      <alignment horizontal="center" vertical="center" wrapText="1"/>
    </xf>
    <xf numFmtId="0" fontId="17" fillId="7" borderId="30"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9" fillId="9" borderId="15" xfId="0" applyFont="1" applyFill="1" applyBorder="1" applyAlignment="1">
      <alignment horizontal="center" vertical="center"/>
    </xf>
    <xf numFmtId="0" fontId="29" fillId="6" borderId="0" xfId="0" applyFont="1" applyFill="1" applyAlignment="1">
      <alignment horizontal="left" vertical="top" wrapText="1"/>
    </xf>
    <xf numFmtId="164" fontId="17" fillId="6" borderId="29" xfId="1" applyNumberFormat="1" applyFont="1" applyFill="1" applyBorder="1" applyAlignment="1">
      <alignment horizontal="right"/>
    </xf>
    <xf numFmtId="164" fontId="17" fillId="6" borderId="21" xfId="1" applyNumberFormat="1" applyFont="1" applyFill="1" applyBorder="1" applyAlignment="1">
      <alignment horizontal="right"/>
    </xf>
    <xf numFmtId="14" fontId="17" fillId="7" borderId="29" xfId="1" applyNumberFormat="1" applyFont="1" applyFill="1" applyBorder="1" applyAlignment="1">
      <alignment horizontal="right"/>
    </xf>
    <xf numFmtId="14" fontId="17" fillId="7" borderId="21" xfId="1" applyNumberFormat="1" applyFont="1" applyFill="1" applyBorder="1" applyAlignment="1">
      <alignment horizontal="right"/>
    </xf>
    <xf numFmtId="3" fontId="17" fillId="6" borderId="29" xfId="1" applyNumberFormat="1" applyFont="1" applyFill="1" applyBorder="1" applyAlignment="1">
      <alignment horizontal="right"/>
    </xf>
    <xf numFmtId="3" fontId="17" fillId="6" borderId="21" xfId="1" applyNumberFormat="1" applyFont="1" applyFill="1" applyBorder="1" applyAlignment="1">
      <alignment horizontal="right"/>
    </xf>
    <xf numFmtId="0" fontId="30" fillId="9" borderId="26" xfId="0" applyFont="1" applyFill="1" applyBorder="1" applyAlignment="1">
      <alignment horizontal="center" wrapText="1"/>
    </xf>
    <xf numFmtId="0" fontId="30" fillId="9" borderId="15" xfId="0" applyFont="1" applyFill="1" applyBorder="1" applyAlignment="1">
      <alignment horizontal="center" wrapText="1"/>
    </xf>
    <xf numFmtId="0" fontId="19" fillId="9" borderId="26" xfId="0" applyFont="1" applyFill="1" applyBorder="1" applyAlignment="1">
      <alignment horizontal="center" wrapText="1"/>
    </xf>
    <xf numFmtId="0" fontId="19" fillId="9" borderId="15" xfId="0" applyFont="1" applyFill="1" applyBorder="1" applyAlignment="1">
      <alignment horizont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7" fillId="6" borderId="1" xfId="0" applyFont="1" applyFill="1" applyBorder="1" applyAlignment="1">
      <alignment horizontal="center" vertical="center"/>
    </xf>
    <xf numFmtId="0" fontId="13" fillId="6" borderId="9"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2" fillId="0" borderId="0" xfId="0" applyFont="1" applyAlignment="1">
      <alignment vertical="top" wrapText="1"/>
    </xf>
    <xf numFmtId="0" fontId="5" fillId="4" borderId="1" xfId="0" applyFont="1" applyFill="1" applyBorder="1" applyAlignment="1">
      <alignment horizontal="center" vertical="center" wrapText="1"/>
    </xf>
  </cellXfs>
  <cellStyles count="9">
    <cellStyle name="Calc. %" xfId="6"/>
    <cellStyle name="Відсотковий" xfId="1" builtinId="5"/>
    <cellStyle name="Відсотковий 2" xfId="7"/>
    <cellStyle name="Гиперссылка 2" xfId="3"/>
    <cellStyle name="Звичайний" xfId="0" builtinId="0"/>
    <cellStyle name="Звичайний 2" xfId="4"/>
    <cellStyle name="Звичайний 3" xfId="2"/>
    <cellStyle name="Звичайний 4" xfId="5"/>
    <cellStyle name="Обычный 3 6" xfId="8"/>
  </cellStyles>
  <dxfs count="5">
    <dxf>
      <font>
        <b/>
        <i val="0"/>
        <color rgb="FF057D46"/>
      </font>
    </dxf>
    <dxf>
      <font>
        <b/>
        <i val="0"/>
        <color rgb="FF057D46"/>
      </font>
    </dxf>
    <dxf>
      <fill>
        <patternFill>
          <bgColor rgb="FF8C969B"/>
        </patternFill>
      </fill>
    </dxf>
    <dxf>
      <font>
        <color rgb="FF057D46"/>
      </font>
    </dxf>
    <dxf>
      <font>
        <color rgb="FF057D46"/>
      </font>
    </dxf>
  </dxfs>
  <tableStyles count="0" defaultTableStyle="TableStyleMedium2" defaultPivotStyle="PivotStyleLight16"/>
  <colors>
    <mruColors>
      <color rgb="FF46AFE6"/>
      <color rgb="FFE5A9B4"/>
      <color rgb="FF005591"/>
      <color rgb="FF7D0532"/>
      <color rgb="FFC84B64"/>
      <color rgb="FF91C864"/>
      <color rgb="FFB5DEF4"/>
      <color rgb="FF057D46"/>
      <color rgb="FF05FFFF"/>
      <color rgb="FF8C9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7055479177086165E-2"/>
          <c:y val="6.4361467178293677E-2"/>
          <c:w val="0.86752788713910756"/>
          <c:h val="0.63998052577528064"/>
        </c:manualLayout>
      </c:layout>
      <c:barChart>
        <c:barDir val="col"/>
        <c:grouping val="clustered"/>
        <c:varyColors val="0"/>
        <c:ser>
          <c:idx val="1"/>
          <c:order val="0"/>
          <c:tx>
            <c:strRef>
              <c:f>'Individual banks'!$H$4:$J$4</c:f>
              <c:strCache>
                <c:ptCount val="3"/>
                <c:pt idx="0">
                  <c:v>Adverse scenario</c:v>
                </c:pt>
              </c:strCache>
            </c:strRef>
          </c:tx>
          <c:spPr>
            <a:solidFill>
              <a:srgbClr val="7D0532"/>
            </a:solidFill>
          </c:spPr>
          <c:invertIfNegative val="0"/>
          <c:dLbls>
            <c:dLbl>
              <c:idx val="0"/>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0-232D-4016-9B22-85E6A1E0971B}"/>
                </c:ext>
              </c:extLst>
            </c:dLbl>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banks'!$D$4,'Individual banks'!$H$5:$J$5)</c:f>
              <c:strCache>
                <c:ptCount val="4"/>
                <c:pt idx="0">
                  <c:v>AQR as of 1 Jan 2019</c:v>
                </c:pt>
                <c:pt idx="1">
                  <c:v>1st</c:v>
                </c:pt>
                <c:pt idx="2">
                  <c:v>2nd</c:v>
                </c:pt>
                <c:pt idx="3">
                  <c:v>3rd</c:v>
                </c:pt>
              </c:strCache>
            </c:strRef>
          </c:cat>
          <c:val>
            <c:numRef>
              <c:f>('Individual banks'!$D$12,'Individual banks'!$H$12:$J$12)</c:f>
              <c:numCache>
                <c:formatCode>0.0</c:formatCode>
                <c:ptCount val="4"/>
                <c:pt idx="0">
                  <c:v>0</c:v>
                </c:pt>
                <c:pt idx="1">
                  <c:v>0</c:v>
                </c:pt>
                <c:pt idx="2">
                  <c:v>0</c:v>
                </c:pt>
                <c:pt idx="3">
                  <c:v>0</c:v>
                </c:pt>
              </c:numCache>
            </c:numRef>
          </c:val>
          <c:extLst>
            <c:ext xmlns:c16="http://schemas.microsoft.com/office/drawing/2014/chart" uri="{C3380CC4-5D6E-409C-BE32-E72D297353CC}">
              <c16:uniqueId val="{00000001-232D-4016-9B22-85E6A1E0971B}"/>
            </c:ext>
          </c:extLst>
        </c:ser>
        <c:ser>
          <c:idx val="0"/>
          <c:order val="1"/>
          <c:tx>
            <c:strRef>
              <c:f>'Individual banks'!$E$4:$G$4</c:f>
              <c:strCache>
                <c:ptCount val="3"/>
                <c:pt idx="0">
                  <c:v>Baseline scenario</c:v>
                </c:pt>
              </c:strCache>
            </c:strRef>
          </c:tx>
          <c:spPr>
            <a:solidFill>
              <a:srgbClr val="057D46"/>
            </a:solidFill>
          </c:spPr>
          <c:invertIfNegative val="0"/>
          <c:dLbls>
            <c:dLbl>
              <c:idx val="0"/>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2-232D-4016-9B22-85E6A1E0971B}"/>
                </c:ext>
              </c:extLst>
            </c:dLbl>
            <c:dLbl>
              <c:idx val="1"/>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3-232D-4016-9B22-85E6A1E0971B}"/>
                </c:ext>
              </c:extLst>
            </c:dLbl>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banks'!$D$4,'Individual banks'!$H$5:$J$5)</c:f>
              <c:strCache>
                <c:ptCount val="4"/>
                <c:pt idx="0">
                  <c:v>AQR as of 1 Jan 2019</c:v>
                </c:pt>
                <c:pt idx="1">
                  <c:v>1st</c:v>
                </c:pt>
                <c:pt idx="2">
                  <c:v>2nd</c:v>
                </c:pt>
                <c:pt idx="3">
                  <c:v>3rd</c:v>
                </c:pt>
              </c:strCache>
            </c:strRef>
          </c:cat>
          <c:val>
            <c:numRef>
              <c:f>'Individual banks'!$D$12:$G$12</c:f>
              <c:numCache>
                <c:formatCode>0.0</c:formatCode>
                <c:ptCount val="4"/>
                <c:pt idx="0">
                  <c:v>0</c:v>
                </c:pt>
                <c:pt idx="1">
                  <c:v>0</c:v>
                </c:pt>
                <c:pt idx="2">
                  <c:v>0</c:v>
                </c:pt>
                <c:pt idx="3">
                  <c:v>0</c:v>
                </c:pt>
              </c:numCache>
            </c:numRef>
          </c:val>
          <c:extLst>
            <c:ext xmlns:c16="http://schemas.microsoft.com/office/drawing/2014/chart" uri="{C3380CC4-5D6E-409C-BE32-E72D297353CC}">
              <c16:uniqueId val="{00000004-232D-4016-9B22-85E6A1E0971B}"/>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3175" cap="flat" cmpd="sng" algn="ctr">
            <a:solidFill>
              <a:srgbClr val="8C969B"/>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808673609944453"/>
          <c:w val="0.96250000000000002"/>
          <c:h val="8.4745762711864403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482872437754412"/>
          <c:y val="4.0509167753591722E-2"/>
          <c:w val="0.83961286542763225"/>
          <c:h val="0.58319523640571236"/>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banks'!$F$6:$F$7,'Comparison of banks'!$F$9:$F$11)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DDA-459B-86DD-E3F9EECFDAEA}"/>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banks'!$J$6:$J$7,'Comparison of banks'!$J$9:$J$11)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EDDA-459B-86DD-E3F9EECFDAEA}"/>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banks'!$N$6:$N$7,'Comparison of banks'!$N$9:$N$11)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EDDA-459B-86DD-E3F9EECFDAEA}"/>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banks'!$R$6:$R$7,'Comparison of banks'!$R$9:$R$11)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EDDA-459B-86DD-E3F9EECFDAEA}"/>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235855097413503"/>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03279670545195"/>
          <c:y val="4.0509167753591722E-2"/>
          <c:w val="0.82312187068564657"/>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banks'!$C$6:$C$7,'Comparison of banks'!$C$13:$C$15)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F58-441A-9F8D-16494E93D9DF}"/>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banks'!$G$6:$G$7,'Comparison of banks'!$G$13:$G$15)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F58-441A-9F8D-16494E93D9DF}"/>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banks'!$K$6:$K$7,'Comparison of banks'!$K$13:$K$15)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F58-441A-9F8D-16494E93D9DF}"/>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banks'!$O$6:$O$7,'Comparison of banks'!$O$13:$O$15)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FF58-441A-9F8D-16494E93D9D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136894060989919"/>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506332759426153"/>
          <c:y val="4.0509167753591722E-2"/>
          <c:w val="0.83937820768031801"/>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banks'!$F$6:$F$7,'Comparison of banks'!$F$13:$F$15)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C3-441B-8AE9-D461C739AFBF}"/>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banks'!$J$6:$J$7,'Comparison of banks'!$J$13:$J$15)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3C3-441B-8AE9-D461C739AFBF}"/>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banks'!$N$6:$N$7,'Comparison of banks'!$N$13:$N$15)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3C3-441B-8AE9-D461C739AFBF}"/>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banks'!$R$6:$R$7,'Comparison of banks'!$R$13:$R$15)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3C3-441B-8AE9-D461C739AFB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235855097413503"/>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need'!$F$4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3FA1-44AF-B4DA-CC666219A083}"/>
              </c:ext>
            </c:extLst>
          </c:dPt>
          <c:dPt>
            <c:idx val="1"/>
            <c:invertIfNegative val="0"/>
            <c:bubble3D val="0"/>
            <c:spPr>
              <a:solidFill>
                <a:srgbClr val="7D0532"/>
              </a:solidFill>
            </c:spPr>
            <c:extLst>
              <c:ext xmlns:c16="http://schemas.microsoft.com/office/drawing/2014/chart" uri="{C3380CC4-5D6E-409C-BE32-E72D297353CC}">
                <c16:uniqueId val="{00000003-3FA1-44AF-B4DA-CC666219A083}"/>
              </c:ext>
            </c:extLst>
          </c:dPt>
          <c:dPt>
            <c:idx val="2"/>
            <c:invertIfNegative val="0"/>
            <c:bubble3D val="0"/>
            <c:spPr>
              <a:solidFill>
                <a:srgbClr val="46AFE6"/>
              </a:solidFill>
            </c:spPr>
            <c:extLst>
              <c:ext xmlns:c16="http://schemas.microsoft.com/office/drawing/2014/chart" uri="{C3380CC4-5D6E-409C-BE32-E72D297353CC}">
                <c16:uniqueId val="{00000005-3FA1-44AF-B4DA-CC666219A083}"/>
              </c:ext>
            </c:extLst>
          </c:dPt>
          <c:dPt>
            <c:idx val="3"/>
            <c:invertIfNegative val="0"/>
            <c:bubble3D val="0"/>
            <c:spPr>
              <a:solidFill>
                <a:srgbClr val="005591"/>
              </a:solidFill>
            </c:spPr>
            <c:extLst>
              <c:ext xmlns:c16="http://schemas.microsoft.com/office/drawing/2014/chart" uri="{C3380CC4-5D6E-409C-BE32-E72D297353CC}">
                <c16:uniqueId val="{00000007-3FA1-44AF-B4DA-CC666219A083}"/>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baseline scenario</c:v>
                  </c:pt>
                  <c:pt idx="1">
                    <c:v>adverse scenario</c:v>
                  </c:pt>
                  <c:pt idx="2">
                    <c:v>baseline scenario</c:v>
                  </c:pt>
                  <c:pt idx="3">
                    <c:v>adverse scenario</c:v>
                  </c:pt>
                </c:lvl>
                <c:lvl>
                  <c:pt idx="0">
                    <c:v>stress test results</c:v>
                  </c:pt>
                  <c:pt idx="2">
                    <c:v>after measures taken by bank</c:v>
                  </c:pt>
                </c:lvl>
              </c:multiLvlStrCache>
            </c:multiLvlStrRef>
          </c:cat>
          <c:val>
            <c:numRef>
              <c:f>'Capital need'!$E$11:$E$14</c:f>
              <c:numCache>
                <c:formatCode>#,##0</c:formatCode>
                <c:ptCount val="4"/>
                <c:pt idx="0">
                  <c:v>0</c:v>
                </c:pt>
                <c:pt idx="1">
                  <c:v>0</c:v>
                </c:pt>
                <c:pt idx="2">
                  <c:v>0</c:v>
                </c:pt>
                <c:pt idx="3">
                  <c:v>0</c:v>
                </c:pt>
              </c:numCache>
            </c:numRef>
          </c:val>
          <c:extLst>
            <c:ext xmlns:c16="http://schemas.microsoft.com/office/drawing/2014/chart" uri="{C3380CC4-5D6E-409C-BE32-E72D297353CC}">
              <c16:uniqueId val="{00000008-3FA1-44AF-B4DA-CC666219A083}"/>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099777254269289"/>
        </c:manualLayout>
      </c:layout>
      <c:barChart>
        <c:barDir val="col"/>
        <c:grouping val="clustered"/>
        <c:varyColors val="0"/>
        <c:ser>
          <c:idx val="0"/>
          <c:order val="0"/>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C84B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7A42-4C91-A0D8-CFC90F3CE654}"/>
              </c:ext>
            </c:extLst>
          </c:dPt>
          <c:dPt>
            <c:idx val="1"/>
            <c:invertIfNegative val="0"/>
            <c:bubble3D val="0"/>
            <c:spPr>
              <a:solidFill>
                <a:srgbClr val="7D053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7A42-4C91-A0D8-CFC90F3CE654}"/>
              </c:ext>
            </c:extLst>
          </c:dPt>
          <c:dPt>
            <c:idx val="2"/>
            <c:invertIfNegative val="0"/>
            <c:bubble3D val="0"/>
            <c:spPr>
              <a:solidFill>
                <a:srgbClr val="46AFE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7A42-4C91-A0D8-CFC90F3CE654}"/>
              </c:ext>
            </c:extLst>
          </c:dPt>
          <c:dPt>
            <c:idx val="3"/>
            <c:invertIfNegative val="0"/>
            <c:bubble3D val="0"/>
            <c:spPr>
              <a:solidFill>
                <a:srgbClr val="00559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7A42-4C91-A0D8-CFC90F3CE654}"/>
              </c:ext>
            </c:extLst>
          </c:dPt>
          <c:dPt>
            <c:idx val="4"/>
            <c:invertIfNegative val="0"/>
            <c:bubble3D val="0"/>
            <c:spPr>
              <a:solidFill>
                <a:srgbClr val="91C8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2-7A42-4C91-A0D8-CFC90F3CE654}"/>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CAR</c:v>
                  </c:pt>
                  <c:pt idx="1">
                    <c:v>Core capital ratio</c:v>
                  </c:pt>
                  <c:pt idx="2">
                    <c:v>CAR</c:v>
                  </c:pt>
                  <c:pt idx="3">
                    <c:v>Core capital ratio</c:v>
                  </c:pt>
                  <c:pt idx="4">
                    <c:v>CAR</c:v>
                  </c:pt>
                  <c:pt idx="5">
                    <c:v>Core capital ratio</c:v>
                  </c:pt>
                </c:lvl>
                <c:lvl>
                  <c:pt idx="0">
                    <c:v>stress test results</c:v>
                  </c:pt>
                  <c:pt idx="2">
                    <c:v>after measures taken by bank</c:v>
                  </c:pt>
                  <c:pt idx="4">
                    <c:v>Actual capital adequacy levels as of 1 Dec 2019</c:v>
                  </c:pt>
                </c:lvl>
              </c:multiLvlStrCache>
            </c:multiLvlStrRef>
          </c:cat>
          <c:val>
            <c:numRef>
              <c:f>'Capital need'!$E$5:$E$10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A42-4C91-A0D8-CFC90F3CE654}"/>
            </c:ext>
          </c:extLst>
        </c:ser>
        <c:dLbls>
          <c:showLegendKey val="0"/>
          <c:showVal val="0"/>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931923419694318"/>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84B64"/>
              </a:solidFill>
              <a:ln>
                <a:noFill/>
              </a:ln>
              <a:effectLst/>
            </c:spPr>
            <c:extLst>
              <c:ext xmlns:c16="http://schemas.microsoft.com/office/drawing/2014/chart" uri="{C3380CC4-5D6E-409C-BE32-E72D297353CC}">
                <c16:uniqueId val="{00000001-2F26-4235-8D5E-6BB95FB5DB61}"/>
              </c:ext>
            </c:extLst>
          </c:dPt>
          <c:dPt>
            <c:idx val="1"/>
            <c:invertIfNegative val="0"/>
            <c:bubble3D val="0"/>
            <c:spPr>
              <a:solidFill>
                <a:srgbClr val="7D0532"/>
              </a:solidFill>
              <a:ln>
                <a:noFill/>
              </a:ln>
              <a:effectLst/>
            </c:spPr>
            <c:extLst>
              <c:ext xmlns:c16="http://schemas.microsoft.com/office/drawing/2014/chart" uri="{C3380CC4-5D6E-409C-BE32-E72D297353CC}">
                <c16:uniqueId val="{00000003-2F26-4235-8D5E-6BB95FB5DB61}"/>
              </c:ext>
            </c:extLst>
          </c:dPt>
          <c:dPt>
            <c:idx val="2"/>
            <c:invertIfNegative val="0"/>
            <c:bubble3D val="0"/>
            <c:spPr>
              <a:solidFill>
                <a:srgbClr val="46AFE6"/>
              </a:solidFill>
              <a:ln>
                <a:noFill/>
              </a:ln>
              <a:effectLst/>
            </c:spPr>
            <c:extLst>
              <c:ext xmlns:c16="http://schemas.microsoft.com/office/drawing/2014/chart" uri="{C3380CC4-5D6E-409C-BE32-E72D297353CC}">
                <c16:uniqueId val="{00000005-2F26-4235-8D5E-6BB95FB5DB61}"/>
              </c:ext>
            </c:extLst>
          </c:dPt>
          <c:dPt>
            <c:idx val="3"/>
            <c:invertIfNegative val="0"/>
            <c:bubble3D val="0"/>
            <c:spPr>
              <a:solidFill>
                <a:srgbClr val="005591"/>
              </a:solidFill>
              <a:ln>
                <a:noFill/>
              </a:ln>
              <a:effectLst/>
            </c:spPr>
            <c:extLst>
              <c:ext xmlns:c16="http://schemas.microsoft.com/office/drawing/2014/chart" uri="{C3380CC4-5D6E-409C-BE32-E72D297353CC}">
                <c16:uniqueId val="{00000007-2F26-4235-8D5E-6BB95FB5DB61}"/>
              </c:ext>
            </c:extLst>
          </c:dPt>
          <c:dPt>
            <c:idx val="4"/>
            <c:invertIfNegative val="0"/>
            <c:bubble3D val="0"/>
            <c:spPr>
              <a:solidFill>
                <a:srgbClr val="91C864"/>
              </a:solidFill>
              <a:ln>
                <a:noFill/>
              </a:ln>
              <a:effectLst/>
            </c:spPr>
            <c:extLst>
              <c:ext xmlns:c16="http://schemas.microsoft.com/office/drawing/2014/chart" uri="{C3380CC4-5D6E-409C-BE32-E72D297353CC}">
                <c16:uniqueId val="{00000009-2F26-4235-8D5E-6BB95FB5DB61}"/>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CAR</c:v>
                  </c:pt>
                  <c:pt idx="1">
                    <c:v>Core capital ratio</c:v>
                  </c:pt>
                  <c:pt idx="2">
                    <c:v>CAR</c:v>
                  </c:pt>
                  <c:pt idx="3">
                    <c:v>Core capital ratio</c:v>
                  </c:pt>
                  <c:pt idx="4">
                    <c:v>CAR</c:v>
                  </c:pt>
                  <c:pt idx="5">
                    <c:v>Core capital ratio</c:v>
                  </c:pt>
                </c:lvl>
                <c:lvl>
                  <c:pt idx="0">
                    <c:v>stress test results</c:v>
                  </c:pt>
                  <c:pt idx="2">
                    <c:v>after measures taken by bank</c:v>
                  </c:pt>
                  <c:pt idx="4">
                    <c:v>Actual capital adequacy levels as of 1 Dec 2019</c:v>
                  </c:pt>
                </c:lvl>
              </c:multiLvlStrCache>
            </c:multiLvlStrRef>
          </c:cat>
          <c:val>
            <c:numRef>
              <c:f>'Capital need'!$G$5:$G$10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A-2F26-4235-8D5E-6BB95FB5DB61}"/>
            </c:ext>
          </c:extLst>
        </c:ser>
        <c:dLbls>
          <c:dLblPos val="inEnd"/>
          <c:showLegendKey val="0"/>
          <c:showVal val="1"/>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192352592405258"/>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84B64"/>
              </a:solidFill>
              <a:ln>
                <a:noFill/>
              </a:ln>
              <a:effectLst/>
            </c:spPr>
            <c:extLst>
              <c:ext xmlns:c16="http://schemas.microsoft.com/office/drawing/2014/chart" uri="{C3380CC4-5D6E-409C-BE32-E72D297353CC}">
                <c16:uniqueId val="{00000001-D2C2-4FD9-922F-B328677C1271}"/>
              </c:ext>
            </c:extLst>
          </c:dPt>
          <c:dPt>
            <c:idx val="1"/>
            <c:invertIfNegative val="0"/>
            <c:bubble3D val="0"/>
            <c:spPr>
              <a:solidFill>
                <a:srgbClr val="7D0532"/>
              </a:solidFill>
              <a:ln>
                <a:noFill/>
              </a:ln>
              <a:effectLst/>
            </c:spPr>
            <c:extLst>
              <c:ext xmlns:c16="http://schemas.microsoft.com/office/drawing/2014/chart" uri="{C3380CC4-5D6E-409C-BE32-E72D297353CC}">
                <c16:uniqueId val="{00000003-D2C2-4FD9-922F-B328677C1271}"/>
              </c:ext>
            </c:extLst>
          </c:dPt>
          <c:dPt>
            <c:idx val="2"/>
            <c:invertIfNegative val="0"/>
            <c:bubble3D val="0"/>
            <c:spPr>
              <a:solidFill>
                <a:srgbClr val="46AFE6"/>
              </a:solidFill>
              <a:ln>
                <a:noFill/>
              </a:ln>
              <a:effectLst/>
            </c:spPr>
            <c:extLst>
              <c:ext xmlns:c16="http://schemas.microsoft.com/office/drawing/2014/chart" uri="{C3380CC4-5D6E-409C-BE32-E72D297353CC}">
                <c16:uniqueId val="{00000005-D2C2-4FD9-922F-B328677C1271}"/>
              </c:ext>
            </c:extLst>
          </c:dPt>
          <c:dPt>
            <c:idx val="3"/>
            <c:invertIfNegative val="0"/>
            <c:bubble3D val="0"/>
            <c:spPr>
              <a:solidFill>
                <a:srgbClr val="005591"/>
              </a:solidFill>
              <a:ln>
                <a:noFill/>
              </a:ln>
              <a:effectLst/>
            </c:spPr>
            <c:extLst>
              <c:ext xmlns:c16="http://schemas.microsoft.com/office/drawing/2014/chart" uri="{C3380CC4-5D6E-409C-BE32-E72D297353CC}">
                <c16:uniqueId val="{00000007-D2C2-4FD9-922F-B328677C1271}"/>
              </c:ext>
            </c:extLst>
          </c:dPt>
          <c:dPt>
            <c:idx val="4"/>
            <c:invertIfNegative val="0"/>
            <c:bubble3D val="0"/>
            <c:spPr>
              <a:solidFill>
                <a:srgbClr val="91C864"/>
              </a:solidFill>
              <a:ln>
                <a:noFill/>
              </a:ln>
              <a:effectLst/>
            </c:spPr>
            <c:extLst>
              <c:ext xmlns:c16="http://schemas.microsoft.com/office/drawing/2014/chart" uri="{C3380CC4-5D6E-409C-BE32-E72D297353CC}">
                <c16:uniqueId val="{00000009-D2C2-4FD9-922F-B328677C1271}"/>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CAR</c:v>
                  </c:pt>
                  <c:pt idx="1">
                    <c:v>Core capital ratio</c:v>
                  </c:pt>
                  <c:pt idx="2">
                    <c:v>CAR</c:v>
                  </c:pt>
                  <c:pt idx="3">
                    <c:v>Core capital ratio</c:v>
                  </c:pt>
                  <c:pt idx="4">
                    <c:v>CAR</c:v>
                  </c:pt>
                  <c:pt idx="5">
                    <c:v>Core capital ratio</c:v>
                  </c:pt>
                </c:lvl>
                <c:lvl>
                  <c:pt idx="0">
                    <c:v>stress test results</c:v>
                  </c:pt>
                  <c:pt idx="2">
                    <c:v>after measures taken by bank</c:v>
                  </c:pt>
                  <c:pt idx="4">
                    <c:v>Actual capital adequacy levels as of 1 Dec 2019</c:v>
                  </c:pt>
                </c:lvl>
              </c:multiLvlStrCache>
            </c:multiLvlStrRef>
          </c:cat>
          <c:val>
            <c:numRef>
              <c:f>'Capital need'!$I$5:$I$10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A-D2C2-4FD9-922F-B328677C1271}"/>
            </c:ext>
          </c:extLst>
        </c:ser>
        <c:dLbls>
          <c:dLblPos val="inEnd"/>
          <c:showLegendKey val="0"/>
          <c:showVal val="1"/>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345921393809372"/>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84B64"/>
              </a:solidFill>
              <a:ln>
                <a:noFill/>
              </a:ln>
              <a:effectLst/>
            </c:spPr>
            <c:extLst>
              <c:ext xmlns:c16="http://schemas.microsoft.com/office/drawing/2014/chart" uri="{C3380CC4-5D6E-409C-BE32-E72D297353CC}">
                <c16:uniqueId val="{00000005-033F-4FBE-8FC1-88CC6E91053C}"/>
              </c:ext>
            </c:extLst>
          </c:dPt>
          <c:dPt>
            <c:idx val="1"/>
            <c:invertIfNegative val="0"/>
            <c:bubble3D val="0"/>
            <c:spPr>
              <a:solidFill>
                <a:srgbClr val="7D0532"/>
              </a:solidFill>
              <a:ln>
                <a:noFill/>
              </a:ln>
              <a:effectLst/>
            </c:spPr>
            <c:extLst>
              <c:ext xmlns:c16="http://schemas.microsoft.com/office/drawing/2014/chart" uri="{C3380CC4-5D6E-409C-BE32-E72D297353CC}">
                <c16:uniqueId val="{00000006-033F-4FBE-8FC1-88CC6E91053C}"/>
              </c:ext>
            </c:extLst>
          </c:dPt>
          <c:dPt>
            <c:idx val="2"/>
            <c:invertIfNegative val="0"/>
            <c:bubble3D val="0"/>
            <c:spPr>
              <a:solidFill>
                <a:srgbClr val="46AFE6"/>
              </a:solidFill>
              <a:ln>
                <a:noFill/>
              </a:ln>
              <a:effectLst/>
            </c:spPr>
            <c:extLst>
              <c:ext xmlns:c16="http://schemas.microsoft.com/office/drawing/2014/chart" uri="{C3380CC4-5D6E-409C-BE32-E72D297353CC}">
                <c16:uniqueId val="{00000007-033F-4FBE-8FC1-88CC6E91053C}"/>
              </c:ext>
            </c:extLst>
          </c:dPt>
          <c:dPt>
            <c:idx val="3"/>
            <c:invertIfNegative val="0"/>
            <c:bubble3D val="0"/>
            <c:spPr>
              <a:solidFill>
                <a:srgbClr val="005591"/>
              </a:solidFill>
              <a:ln>
                <a:noFill/>
              </a:ln>
              <a:effectLst/>
            </c:spPr>
            <c:extLst>
              <c:ext xmlns:c16="http://schemas.microsoft.com/office/drawing/2014/chart" uri="{C3380CC4-5D6E-409C-BE32-E72D297353CC}">
                <c16:uniqueId val="{0000000C-033F-4FBE-8FC1-88CC6E91053C}"/>
              </c:ext>
            </c:extLst>
          </c:dPt>
          <c:dPt>
            <c:idx val="4"/>
            <c:invertIfNegative val="0"/>
            <c:bubble3D val="0"/>
            <c:spPr>
              <a:solidFill>
                <a:srgbClr val="91C864"/>
              </a:solidFill>
              <a:ln>
                <a:noFill/>
              </a:ln>
              <a:effectLst/>
            </c:spPr>
            <c:extLst>
              <c:ext xmlns:c16="http://schemas.microsoft.com/office/drawing/2014/chart" uri="{C3380CC4-5D6E-409C-BE32-E72D297353CC}">
                <c16:uniqueId val="{0000000D-033F-4FBE-8FC1-88CC6E91053C}"/>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CAR</c:v>
                  </c:pt>
                  <c:pt idx="1">
                    <c:v>Core capital ratio</c:v>
                  </c:pt>
                  <c:pt idx="2">
                    <c:v>CAR</c:v>
                  </c:pt>
                  <c:pt idx="3">
                    <c:v>Core capital ratio</c:v>
                  </c:pt>
                  <c:pt idx="4">
                    <c:v>CAR</c:v>
                  </c:pt>
                  <c:pt idx="5">
                    <c:v>Core capital ratio</c:v>
                  </c:pt>
                </c:lvl>
                <c:lvl>
                  <c:pt idx="0">
                    <c:v>stress test results</c:v>
                  </c:pt>
                  <c:pt idx="2">
                    <c:v>after measures taken by bank</c:v>
                  </c:pt>
                  <c:pt idx="4">
                    <c:v>Actual capital adequacy levels as of 1 Dec 2019</c:v>
                  </c:pt>
                </c:lvl>
              </c:multiLvlStrCache>
            </c:multiLvlStrRef>
          </c:cat>
          <c:val>
            <c:numRef>
              <c:f>'Capital need'!$K$5:$K$10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3F-4FBE-8FC1-88CC6E91053C}"/>
            </c:ext>
          </c:extLst>
        </c:ser>
        <c:dLbls>
          <c:dLblPos val="inEnd"/>
          <c:showLegendKey val="0"/>
          <c:showVal val="1"/>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need'!$H$4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DE4D-4520-9681-95D9DD96950F}"/>
              </c:ext>
            </c:extLst>
          </c:dPt>
          <c:dPt>
            <c:idx val="1"/>
            <c:invertIfNegative val="0"/>
            <c:bubble3D val="0"/>
            <c:spPr>
              <a:solidFill>
                <a:srgbClr val="7D0532"/>
              </a:solidFill>
            </c:spPr>
            <c:extLst>
              <c:ext xmlns:c16="http://schemas.microsoft.com/office/drawing/2014/chart" uri="{C3380CC4-5D6E-409C-BE32-E72D297353CC}">
                <c16:uniqueId val="{00000003-DE4D-4520-9681-95D9DD96950F}"/>
              </c:ext>
            </c:extLst>
          </c:dPt>
          <c:dPt>
            <c:idx val="2"/>
            <c:invertIfNegative val="0"/>
            <c:bubble3D val="0"/>
            <c:spPr>
              <a:solidFill>
                <a:srgbClr val="46AFE6"/>
              </a:solidFill>
            </c:spPr>
            <c:extLst>
              <c:ext xmlns:c16="http://schemas.microsoft.com/office/drawing/2014/chart" uri="{C3380CC4-5D6E-409C-BE32-E72D297353CC}">
                <c16:uniqueId val="{00000005-DE4D-4520-9681-95D9DD96950F}"/>
              </c:ext>
            </c:extLst>
          </c:dPt>
          <c:dPt>
            <c:idx val="3"/>
            <c:invertIfNegative val="0"/>
            <c:bubble3D val="0"/>
            <c:spPr>
              <a:solidFill>
                <a:srgbClr val="005591"/>
              </a:solidFill>
            </c:spPr>
            <c:extLst>
              <c:ext xmlns:c16="http://schemas.microsoft.com/office/drawing/2014/chart" uri="{C3380CC4-5D6E-409C-BE32-E72D297353CC}">
                <c16:uniqueId val="{00000007-DE4D-4520-9681-95D9DD96950F}"/>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baseline scenario</c:v>
                  </c:pt>
                  <c:pt idx="1">
                    <c:v>adverse scenario</c:v>
                  </c:pt>
                  <c:pt idx="2">
                    <c:v>baseline scenario</c:v>
                  </c:pt>
                  <c:pt idx="3">
                    <c:v>adverse scenario</c:v>
                  </c:pt>
                </c:lvl>
                <c:lvl>
                  <c:pt idx="0">
                    <c:v>stress test results</c:v>
                  </c:pt>
                  <c:pt idx="2">
                    <c:v>after measures taken by bank</c:v>
                  </c:pt>
                </c:lvl>
              </c:multiLvlStrCache>
            </c:multiLvlStrRef>
          </c:cat>
          <c:val>
            <c:numRef>
              <c:f>'Capital need'!$G$11:$G$14</c:f>
              <c:numCache>
                <c:formatCode>#,##0</c:formatCode>
                <c:ptCount val="4"/>
                <c:pt idx="0">
                  <c:v>0</c:v>
                </c:pt>
                <c:pt idx="1">
                  <c:v>0</c:v>
                </c:pt>
                <c:pt idx="2">
                  <c:v>0</c:v>
                </c:pt>
                <c:pt idx="3">
                  <c:v>0</c:v>
                </c:pt>
              </c:numCache>
            </c:numRef>
          </c:val>
          <c:extLst>
            <c:ext xmlns:c16="http://schemas.microsoft.com/office/drawing/2014/chart" uri="{C3380CC4-5D6E-409C-BE32-E72D297353CC}">
              <c16:uniqueId val="{00000008-DE4D-4520-9681-95D9DD96950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need'!$J$4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28D7-4EC6-B55F-0D9D52AB5C3E}"/>
              </c:ext>
            </c:extLst>
          </c:dPt>
          <c:dPt>
            <c:idx val="1"/>
            <c:invertIfNegative val="0"/>
            <c:bubble3D val="0"/>
            <c:spPr>
              <a:solidFill>
                <a:srgbClr val="7D0532"/>
              </a:solidFill>
            </c:spPr>
            <c:extLst>
              <c:ext xmlns:c16="http://schemas.microsoft.com/office/drawing/2014/chart" uri="{C3380CC4-5D6E-409C-BE32-E72D297353CC}">
                <c16:uniqueId val="{00000002-28D7-4EC6-B55F-0D9D52AB5C3E}"/>
              </c:ext>
            </c:extLst>
          </c:dPt>
          <c:dPt>
            <c:idx val="2"/>
            <c:invertIfNegative val="0"/>
            <c:bubble3D val="0"/>
            <c:spPr>
              <a:solidFill>
                <a:srgbClr val="46AFE6"/>
              </a:solidFill>
            </c:spPr>
            <c:extLst>
              <c:ext xmlns:c16="http://schemas.microsoft.com/office/drawing/2014/chart" uri="{C3380CC4-5D6E-409C-BE32-E72D297353CC}">
                <c16:uniqueId val="{00000003-28D7-4EC6-B55F-0D9D52AB5C3E}"/>
              </c:ext>
            </c:extLst>
          </c:dPt>
          <c:dPt>
            <c:idx val="3"/>
            <c:invertIfNegative val="0"/>
            <c:bubble3D val="0"/>
            <c:spPr>
              <a:solidFill>
                <a:srgbClr val="005591"/>
              </a:solidFill>
            </c:spPr>
            <c:extLst>
              <c:ext xmlns:c16="http://schemas.microsoft.com/office/drawing/2014/chart" uri="{C3380CC4-5D6E-409C-BE32-E72D297353CC}">
                <c16:uniqueId val="{00000004-28D7-4EC6-B55F-0D9D52AB5C3E}"/>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baseline scenario</c:v>
                  </c:pt>
                  <c:pt idx="1">
                    <c:v>adverse scenario</c:v>
                  </c:pt>
                  <c:pt idx="2">
                    <c:v>baseline scenario</c:v>
                  </c:pt>
                  <c:pt idx="3">
                    <c:v>adverse scenario</c:v>
                  </c:pt>
                </c:lvl>
                <c:lvl>
                  <c:pt idx="0">
                    <c:v>stress test results</c:v>
                  </c:pt>
                  <c:pt idx="2">
                    <c:v>after measures taken by bank</c:v>
                  </c:pt>
                </c:lvl>
              </c:multiLvlStrCache>
            </c:multiLvlStrRef>
          </c:cat>
          <c:val>
            <c:numRef>
              <c:f>'Capital need'!$I$11:$I$14</c:f>
              <c:numCache>
                <c:formatCode>#,##0</c:formatCode>
                <c:ptCount val="4"/>
                <c:pt idx="0">
                  <c:v>0</c:v>
                </c:pt>
                <c:pt idx="1">
                  <c:v>0</c:v>
                </c:pt>
                <c:pt idx="2">
                  <c:v>0</c:v>
                </c:pt>
                <c:pt idx="3">
                  <c:v>0</c:v>
                </c:pt>
              </c:numCache>
            </c:numRef>
          </c:val>
          <c:extLst>
            <c:ext xmlns:c16="http://schemas.microsoft.com/office/drawing/2014/chart" uri="{C3380CC4-5D6E-409C-BE32-E72D297353CC}">
              <c16:uniqueId val="{00000000-28D7-4EC6-B55F-0D9D52AB5C3E}"/>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778398692810458"/>
          <c:y val="4.4799018103712798E-2"/>
          <c:w val="0.85679914232389698"/>
          <c:h val="0.60514224948579765"/>
        </c:manualLayout>
      </c:layout>
      <c:lineChart>
        <c:grouping val="standard"/>
        <c:varyColors val="0"/>
        <c:ser>
          <c:idx val="0"/>
          <c:order val="0"/>
          <c:tx>
            <c:strRef>
              <c:f>'Individual banks'!$E$4:$G$4</c:f>
              <c:strCache>
                <c:ptCount val="3"/>
                <c:pt idx="0">
                  <c:v>Baseline scenario</c:v>
                </c:pt>
              </c:strCache>
            </c:strRef>
          </c:tx>
          <c:spPr>
            <a:ln w="25400">
              <a:solidFill>
                <a:srgbClr val="057D46"/>
              </a:solidFill>
            </a:ln>
          </c:spPr>
          <c:marker>
            <c:symbol val="none"/>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banks'!$C$4:$C$6,'Individual banks'!$D$4,'Individual banks'!$E$5:$G$5)</c:f>
              <c:strCache>
                <c:ptCount val="5"/>
                <c:pt idx="0">
                  <c:v>Bank's data as of 1 Jan 2019</c:v>
                </c:pt>
                <c:pt idx="1">
                  <c:v>AQR as of 1 Jan 2019</c:v>
                </c:pt>
                <c:pt idx="2">
                  <c:v>1st</c:v>
                </c:pt>
                <c:pt idx="3">
                  <c:v>2nd</c:v>
                </c:pt>
                <c:pt idx="4">
                  <c:v>3rd</c:v>
                </c:pt>
              </c:strCache>
            </c:strRef>
          </c:cat>
          <c:val>
            <c:numRef>
              <c:f>'Individual banks'!$C$10:$G$10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23B-4059-A716-D1B7D332CD12}"/>
            </c:ext>
          </c:extLst>
        </c:ser>
        <c:ser>
          <c:idx val="1"/>
          <c:order val="1"/>
          <c:tx>
            <c:strRef>
              <c:f>'Individual banks'!$H$4:$J$4</c:f>
              <c:strCache>
                <c:ptCount val="3"/>
                <c:pt idx="0">
                  <c:v>Adverse scenario</c:v>
                </c:pt>
              </c:strCache>
            </c:strRef>
          </c:tx>
          <c:spPr>
            <a:ln w="25400" cmpd="sng">
              <a:solidFill>
                <a:srgbClr val="91C864"/>
              </a:solidFill>
              <a:prstDash val="solid"/>
            </a:ln>
          </c:spPr>
          <c:marker>
            <c:symbol val="none"/>
          </c:marker>
          <c:dPt>
            <c:idx val="1"/>
            <c:bubble3D val="0"/>
            <c:spPr>
              <a:ln w="25400" cmpd="sng">
                <a:solidFill>
                  <a:srgbClr val="91C864"/>
                </a:solidFill>
                <a:prstDash val="dash"/>
              </a:ln>
            </c:spPr>
            <c:extLst>
              <c:ext xmlns:c16="http://schemas.microsoft.com/office/drawing/2014/chart" uri="{C3380CC4-5D6E-409C-BE32-E72D297353CC}">
                <c16:uniqueId val="{00000002-E23B-4059-A716-D1B7D332CD12}"/>
              </c:ext>
            </c:extLst>
          </c:dPt>
          <c:dLbls>
            <c:dLbl>
              <c:idx val="0"/>
              <c:delete val="1"/>
              <c:extLst>
                <c:ext xmlns:c15="http://schemas.microsoft.com/office/drawing/2012/chart" uri="{CE6537A1-D6FC-4f65-9D91-7224C49458BB}"/>
                <c:ext xmlns:c16="http://schemas.microsoft.com/office/drawing/2014/chart" uri="{C3380CC4-5D6E-409C-BE32-E72D297353CC}">
                  <c16:uniqueId val="{00000003-E23B-4059-A716-D1B7D332CD12}"/>
                </c:ext>
              </c:extLst>
            </c:dLbl>
            <c:dLbl>
              <c:idx val="1"/>
              <c:delete val="1"/>
              <c:extLst>
                <c:ext xmlns:c15="http://schemas.microsoft.com/office/drawing/2012/chart" uri="{CE6537A1-D6FC-4f65-9D91-7224C49458BB}"/>
                <c:ext xmlns:c16="http://schemas.microsoft.com/office/drawing/2014/chart" uri="{C3380CC4-5D6E-409C-BE32-E72D297353CC}">
                  <c16:uniqueId val="{00000002-E23B-4059-A716-D1B7D332CD12}"/>
                </c:ext>
              </c:extLst>
            </c:dLbl>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('Individual banks'!$C$4:$C$6,'Individual banks'!$D$4,'Individual banks'!$E$5:$G$5)</c:f>
              <c:strCache>
                <c:ptCount val="5"/>
                <c:pt idx="0">
                  <c:v>Bank's data as of 1 Jan 2019</c:v>
                </c:pt>
                <c:pt idx="1">
                  <c:v>AQR as of 1 Jan 2019</c:v>
                </c:pt>
                <c:pt idx="2">
                  <c:v>1st</c:v>
                </c:pt>
                <c:pt idx="3">
                  <c:v>2nd</c:v>
                </c:pt>
                <c:pt idx="4">
                  <c:v>3rd</c:v>
                </c:pt>
              </c:strCache>
            </c:strRef>
          </c:cat>
          <c:val>
            <c:numRef>
              <c:f>('Individual banks'!$C$10:$D$10,'Individual banks'!$H$10:$J$10)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6-E23B-4059-A716-D1B7D332CD12}"/>
            </c:ext>
          </c:extLst>
        </c:ser>
        <c:ser>
          <c:idx val="2"/>
          <c:order val="2"/>
          <c:tx>
            <c:strRef>
              <c:f>'Individual banks'!$B$33</c:f>
              <c:strCache>
                <c:ptCount val="1"/>
                <c:pt idx="0">
                  <c:v>Hurdle rate of core capital ratio under baseline scenario</c:v>
                </c:pt>
              </c:strCache>
            </c:strRef>
          </c:tx>
          <c:spPr>
            <a:ln w="25400">
              <a:solidFill>
                <a:srgbClr val="7D0532"/>
              </a:solidFill>
              <a:prstDash val="sysDash"/>
            </a:ln>
          </c:spPr>
          <c:marker>
            <c:symbol val="none"/>
          </c:marker>
          <c:cat>
            <c:strRef>
              <c:f>('Individual banks'!$C$4:$C$6,'Individual banks'!$D$4,'Individual banks'!$E$5:$G$5)</c:f>
              <c:strCache>
                <c:ptCount val="5"/>
                <c:pt idx="0">
                  <c:v>Bank's data as of 1 Jan 2019</c:v>
                </c:pt>
                <c:pt idx="1">
                  <c:v>AQR as of 1 Jan 2019</c:v>
                </c:pt>
                <c:pt idx="2">
                  <c:v>1st</c:v>
                </c:pt>
                <c:pt idx="3">
                  <c:v>2nd</c:v>
                </c:pt>
                <c:pt idx="4">
                  <c:v>3rd</c:v>
                </c:pt>
              </c:strCache>
            </c:strRef>
          </c:cat>
          <c:val>
            <c:numRef>
              <c:f>'Individual banks'!$C$11:$G$11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C-E23B-4059-A716-D1B7D332CD12}"/>
            </c:ext>
          </c:extLst>
        </c:ser>
        <c:ser>
          <c:idx val="3"/>
          <c:order val="3"/>
          <c:tx>
            <c:strRef>
              <c:f>'Individual banks'!$B$34</c:f>
              <c:strCache>
                <c:ptCount val="1"/>
                <c:pt idx="0">
                  <c:v>Hurdle rate of core capital ratio under adverse scenario</c:v>
                </c:pt>
              </c:strCache>
            </c:strRef>
          </c:tx>
          <c:spPr>
            <a:ln w="25400">
              <a:solidFill>
                <a:srgbClr val="C84B64"/>
              </a:solidFill>
              <a:prstDash val="sysDash"/>
            </a:ln>
          </c:spPr>
          <c:marker>
            <c:symbol val="none"/>
          </c:marker>
          <c:cat>
            <c:strRef>
              <c:f>('Individual banks'!$C$4:$C$6,'Individual banks'!$D$4,'Individual banks'!$E$5:$G$5)</c:f>
              <c:strCache>
                <c:ptCount val="5"/>
                <c:pt idx="0">
                  <c:v>Bank's data as of 1 Jan 2019</c:v>
                </c:pt>
                <c:pt idx="1">
                  <c:v>AQR as of 1 Jan 2019</c:v>
                </c:pt>
                <c:pt idx="2">
                  <c:v>1st</c:v>
                </c:pt>
                <c:pt idx="3">
                  <c:v>2nd</c:v>
                </c:pt>
                <c:pt idx="4">
                  <c:v>3rd</c:v>
                </c:pt>
              </c:strCache>
            </c:strRef>
          </c:cat>
          <c:val>
            <c:numRef>
              <c:f>('Individual banks'!$H$11:$I$11,'Individual banks'!$H$11:$J$11)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2-E23B-4059-A716-D1B7D332CD12}"/>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1858910244687333"/>
          <c:w val="0.97916666666666663"/>
          <c:h val="0.1814108975531267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need'!$L$4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34D8-4F96-8B4B-546CD3A31D0F}"/>
              </c:ext>
            </c:extLst>
          </c:dPt>
          <c:dPt>
            <c:idx val="1"/>
            <c:invertIfNegative val="0"/>
            <c:bubble3D val="0"/>
            <c:spPr>
              <a:solidFill>
                <a:srgbClr val="7D0532"/>
              </a:solidFill>
            </c:spPr>
            <c:extLst>
              <c:ext xmlns:c16="http://schemas.microsoft.com/office/drawing/2014/chart" uri="{C3380CC4-5D6E-409C-BE32-E72D297353CC}">
                <c16:uniqueId val="{00000002-34D8-4F96-8B4B-546CD3A31D0F}"/>
              </c:ext>
            </c:extLst>
          </c:dPt>
          <c:dPt>
            <c:idx val="2"/>
            <c:invertIfNegative val="0"/>
            <c:bubble3D val="0"/>
            <c:spPr>
              <a:solidFill>
                <a:srgbClr val="46AFE6"/>
              </a:solidFill>
            </c:spPr>
            <c:extLst>
              <c:ext xmlns:c16="http://schemas.microsoft.com/office/drawing/2014/chart" uri="{C3380CC4-5D6E-409C-BE32-E72D297353CC}">
                <c16:uniqueId val="{00000003-34D8-4F96-8B4B-546CD3A31D0F}"/>
              </c:ext>
            </c:extLst>
          </c:dPt>
          <c:dPt>
            <c:idx val="3"/>
            <c:invertIfNegative val="0"/>
            <c:bubble3D val="0"/>
            <c:spPr>
              <a:solidFill>
                <a:srgbClr val="005591"/>
              </a:solidFill>
            </c:spPr>
            <c:extLst>
              <c:ext xmlns:c16="http://schemas.microsoft.com/office/drawing/2014/chart" uri="{C3380CC4-5D6E-409C-BE32-E72D297353CC}">
                <c16:uniqueId val="{0000000B-34D8-4F96-8B4B-546CD3A31D0F}"/>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baseline scenario</c:v>
                  </c:pt>
                  <c:pt idx="1">
                    <c:v>adverse scenario</c:v>
                  </c:pt>
                  <c:pt idx="2">
                    <c:v>baseline scenario</c:v>
                  </c:pt>
                  <c:pt idx="3">
                    <c:v>adverse scenario</c:v>
                  </c:pt>
                </c:lvl>
                <c:lvl>
                  <c:pt idx="0">
                    <c:v>stress test results</c:v>
                  </c:pt>
                  <c:pt idx="2">
                    <c:v>after measures taken by bank</c:v>
                  </c:pt>
                </c:lvl>
              </c:multiLvlStrCache>
            </c:multiLvlStrRef>
          </c:cat>
          <c:val>
            <c:numRef>
              <c:f>'Capital need'!$K$11:$K$14</c:f>
              <c:numCache>
                <c:formatCode>#,##0</c:formatCode>
                <c:ptCount val="4"/>
                <c:pt idx="0">
                  <c:v>0</c:v>
                </c:pt>
                <c:pt idx="1">
                  <c:v>0</c:v>
                </c:pt>
                <c:pt idx="2">
                  <c:v>0</c:v>
                </c:pt>
                <c:pt idx="3">
                  <c:v>0</c:v>
                </c:pt>
              </c:numCache>
            </c:numRef>
          </c:val>
          <c:extLst>
            <c:ext xmlns:c16="http://schemas.microsoft.com/office/drawing/2014/chart" uri="{C3380CC4-5D6E-409C-BE32-E72D297353CC}">
              <c16:uniqueId val="{00000000-34D8-4F96-8B4B-546CD3A31D0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2516936667943359"/>
        </c:manualLayout>
      </c:layout>
      <c:barChart>
        <c:barDir val="col"/>
        <c:grouping val="clustered"/>
        <c:varyColors val="0"/>
        <c:ser>
          <c:idx val="0"/>
          <c:order val="0"/>
          <c:tx>
            <c:strRef>
              <c:f>'Comparison with 2018'!$B$34</c:f>
              <c:strCache>
                <c:ptCount val="1"/>
                <c:pt idx="0">
                  <c:v>Baseline scenario (2019 year stress test)</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2018'!$C$7:$C$8,'Comparison with 2018'!$C$10:$C$12)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D84-4BBE-A0A6-DAA2F02AFB1E}"/>
            </c:ext>
          </c:extLst>
        </c:ser>
        <c:ser>
          <c:idx val="1"/>
          <c:order val="1"/>
          <c:tx>
            <c:strRef>
              <c:f>'Comparison with 2018'!$B$36</c:f>
              <c:strCache>
                <c:ptCount val="1"/>
                <c:pt idx="0">
                  <c:v>Baseline scenario (2018 year stress test)</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2018'!$G$7:$G$8,'Comparison with 2018'!$G$10:$G$12)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D84-4BBE-A0A6-DAA2F02AFB1E}"/>
            </c:ext>
          </c:extLst>
        </c:ser>
        <c:ser>
          <c:idx val="2"/>
          <c:order val="2"/>
          <c:tx>
            <c:strRef>
              <c:f>'Comparison with 2018'!$B$35</c:f>
              <c:strCache>
                <c:ptCount val="1"/>
                <c:pt idx="0">
                  <c:v>Adverse scenario (2019 year stress test)</c:v>
                </c:pt>
              </c:strCache>
            </c:strRef>
          </c:tx>
          <c:spPr>
            <a:solidFill>
              <a:schemeClr val="accent3"/>
            </a:solidFill>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2018'!$C$7:$C$8,'Comparison with 2018'!$C$14:$C$16)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D84-4BBE-A0A6-DAA2F02AFB1E}"/>
            </c:ext>
          </c:extLst>
        </c:ser>
        <c:ser>
          <c:idx val="3"/>
          <c:order val="3"/>
          <c:tx>
            <c:strRef>
              <c:f>'Comparison with 2018'!$B$37</c:f>
              <c:strCache>
                <c:ptCount val="1"/>
                <c:pt idx="0">
                  <c:v>Adverse scenario (2018 year stress test)</c:v>
                </c:pt>
              </c:strCache>
            </c:strRef>
          </c:tx>
          <c:spPr>
            <a:solidFill>
              <a:schemeClr val="accent4"/>
            </a:solidFill>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2018'!$G$7:$G$8,'Comparison with 2018'!$G$14:$G$16)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FD84-4BBE-A0A6-DAA2F02AFB1E}"/>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0624786606968881"/>
          <c:w val="0.99564500131570954"/>
          <c:h val="0.2937521339303111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213717796065939E-2"/>
          <c:y val="4.1904773431540039E-2"/>
          <c:w val="0.87159138879919662"/>
          <c:h val="0.51788402274973977"/>
        </c:manualLayout>
      </c:layout>
      <c:lineChart>
        <c:grouping val="standard"/>
        <c:varyColors val="0"/>
        <c:ser>
          <c:idx val="0"/>
          <c:order val="0"/>
          <c:tx>
            <c:strRef>
              <c:f>'Comparison with 2018'!$B$34</c:f>
              <c:strCache>
                <c:ptCount val="1"/>
                <c:pt idx="0">
                  <c:v>Baseline scenario (2019 year stress test)</c:v>
                </c:pt>
              </c:strCache>
            </c:strRef>
          </c:tx>
          <c:spPr>
            <a:ln w="25400">
              <a:solidFill>
                <a:schemeClr val="accent1"/>
              </a:solidFill>
              <a:prstDash val="solid"/>
            </a:ln>
            <a:effectLst/>
            <a:extLst/>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2018'!$F$7:$F$8,'Comparison with 2018'!$F$10:$F$12)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2FD-4CB8-BD41-DE9104E36281}"/>
            </c:ext>
          </c:extLst>
        </c:ser>
        <c:ser>
          <c:idx val="1"/>
          <c:order val="1"/>
          <c:tx>
            <c:strRef>
              <c:f>'Comparison with 2018'!$B$35</c:f>
              <c:strCache>
                <c:ptCount val="1"/>
                <c:pt idx="0">
                  <c:v>Adverse scenario (2019 year stress test)</c:v>
                </c:pt>
              </c:strCache>
            </c:strRef>
          </c:tx>
          <c:spPr>
            <a:ln w="25400" cmpd="sng">
              <a:solidFill>
                <a:schemeClr val="accent3"/>
              </a:solidFill>
              <a:prstDash val="solid"/>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2018'!$F$7:$F$8,'Comparison with 2018'!$F$14:$F$16)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FD-4CB8-BD41-DE9104E36281}"/>
            </c:ext>
          </c:extLst>
        </c:ser>
        <c:ser>
          <c:idx val="2"/>
          <c:order val="2"/>
          <c:tx>
            <c:strRef>
              <c:f>'Comparison with 2018'!$B$36</c:f>
              <c:strCache>
                <c:ptCount val="1"/>
                <c:pt idx="0">
                  <c:v>Baseline scenario (2018 year stress test)</c:v>
                </c:pt>
              </c:strCache>
            </c:strRef>
          </c:tx>
          <c:spPr>
            <a:ln w="25400">
              <a:solidFill>
                <a:schemeClr val="accent2"/>
              </a:solidFill>
              <a:prstDash val="sysDash"/>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2018'!$J$7:$J$8,'Comparison with 2018'!$J$10:$J$12)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2FD-4CB8-BD41-DE9104E36281}"/>
            </c:ext>
          </c:extLst>
        </c:ser>
        <c:ser>
          <c:idx val="3"/>
          <c:order val="3"/>
          <c:tx>
            <c:strRef>
              <c:f>'Comparison with 2018'!$B$37</c:f>
              <c:strCache>
                <c:ptCount val="1"/>
                <c:pt idx="0">
                  <c:v>Adverse scenario (2018 year stress test)</c:v>
                </c:pt>
              </c:strCache>
            </c:strRef>
          </c:tx>
          <c:spPr>
            <a:ln w="25400">
              <a:solidFill>
                <a:schemeClr val="accent4"/>
              </a:solidFill>
              <a:prstDash val="sysDash"/>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2018'!$J$7:$J$8,'Comparison with 2018'!$J$14:$J$16)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E2FD-4CB8-BD41-DE9104E36281}"/>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68636279797205957"/>
          <c:w val="0.9294605809128631"/>
          <c:h val="0.3045623825192027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0455805432859191"/>
        </c:manualLayout>
      </c:layout>
      <c:barChart>
        <c:barDir val="col"/>
        <c:grouping val="clustered"/>
        <c:varyColors val="0"/>
        <c:ser>
          <c:idx val="0"/>
          <c:order val="0"/>
          <c:tx>
            <c:strRef>
              <c:f>'Comparison with 2018'!$B$34</c:f>
              <c:strCache>
                <c:ptCount val="1"/>
                <c:pt idx="0">
                  <c:v>Baseline scenario (2019 year stress test)</c:v>
                </c:pt>
              </c:strCache>
            </c:strRef>
          </c:tx>
          <c:spPr>
            <a:solidFill>
              <a:schemeClr val="accent1"/>
            </a:solidFill>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2018'!$D$7:$D$8,'Comparison with 2018'!$D$10:$D$12)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996-4A3D-B03F-B06465356C61}"/>
            </c:ext>
          </c:extLst>
        </c:ser>
        <c:ser>
          <c:idx val="1"/>
          <c:order val="1"/>
          <c:tx>
            <c:strRef>
              <c:f>'Comparison with 2018'!$B$36</c:f>
              <c:strCache>
                <c:ptCount val="1"/>
                <c:pt idx="0">
                  <c:v>Baseline scenario (2018 year stress test)</c:v>
                </c:pt>
              </c:strCache>
            </c:strRef>
          </c:tx>
          <c:spPr>
            <a:solidFill>
              <a:schemeClr val="accent2"/>
            </a:solidFill>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2018'!$H$7:$H$8,'Comparison with 2018'!$H$10:$H$12)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8996-4A3D-B03F-B06465356C61}"/>
            </c:ext>
          </c:extLst>
        </c:ser>
        <c:ser>
          <c:idx val="2"/>
          <c:order val="2"/>
          <c:tx>
            <c:strRef>
              <c:f>'Comparison with 2018'!$B$35</c:f>
              <c:strCache>
                <c:ptCount val="1"/>
                <c:pt idx="0">
                  <c:v>Adverse scenario (2019 year stress test)</c:v>
                </c:pt>
              </c:strCache>
            </c:strRef>
          </c:tx>
          <c:spPr>
            <a:solidFill>
              <a:schemeClr val="accent3"/>
            </a:solidFill>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2018'!$D$7:$D$8,'Comparison with 2018'!$D$14:$D$16)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996-4A3D-B03F-B06465356C61}"/>
            </c:ext>
          </c:extLst>
        </c:ser>
        <c:ser>
          <c:idx val="3"/>
          <c:order val="3"/>
          <c:tx>
            <c:strRef>
              <c:f>'Comparison with 2018'!$B$37</c:f>
              <c:strCache>
                <c:ptCount val="1"/>
                <c:pt idx="0">
                  <c:v>Adverse scenario (2018 year stress test)</c:v>
                </c:pt>
              </c:strCache>
            </c:strRef>
          </c:tx>
          <c:spPr>
            <a:solidFill>
              <a:schemeClr val="accent4"/>
            </a:solidFill>
          </c:spPr>
          <c:invertIfNegative val="0"/>
          <c:dLbls>
            <c:delete val="1"/>
          </c:dLbls>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2018'!$H$7:$H$8,'Comparison with 2018'!$H$14:$H$16)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8996-4A3D-B03F-B06465356C61}"/>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9565964482901765"/>
          <c:w val="0.96136894060989919"/>
          <c:h val="0.3043403551709823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834794293039538E-2"/>
          <c:y val="4.1851503135430061E-2"/>
          <c:w val="0.87097033904014043"/>
          <c:h val="0.50013198882563892"/>
        </c:manualLayout>
      </c:layout>
      <c:lineChart>
        <c:grouping val="standard"/>
        <c:varyColors val="0"/>
        <c:ser>
          <c:idx val="0"/>
          <c:order val="0"/>
          <c:tx>
            <c:strRef>
              <c:f>'Comparison with 2018'!$B$34</c:f>
              <c:strCache>
                <c:ptCount val="1"/>
                <c:pt idx="0">
                  <c:v>Baseline scenario (2019 year stress test)</c:v>
                </c:pt>
              </c:strCache>
            </c:strRef>
          </c:tx>
          <c:spPr>
            <a:ln w="25400">
              <a:solidFill>
                <a:schemeClr val="accent1"/>
              </a:solidFill>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2018'!$E$7:$E$8,'Comparison with 2018'!$E$10:$E$12)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8F1E-4B4B-9BE9-E6CDB8CB5718}"/>
            </c:ext>
          </c:extLst>
        </c:ser>
        <c:ser>
          <c:idx val="1"/>
          <c:order val="1"/>
          <c:tx>
            <c:strRef>
              <c:f>'Comparison with 2018'!$B$35</c:f>
              <c:strCache>
                <c:ptCount val="1"/>
                <c:pt idx="0">
                  <c:v>Adverse scenario (2019 year stress test)</c:v>
                </c:pt>
              </c:strCache>
            </c:strRef>
          </c:tx>
          <c:spPr>
            <a:ln w="25400">
              <a:solidFill>
                <a:schemeClr val="accent3"/>
              </a:solidFill>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2018'!$E$7:$E$8,'Comparison with 2018'!$E$14:$E$16)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F1E-4B4B-9BE9-E6CDB8CB5718}"/>
            </c:ext>
          </c:extLst>
        </c:ser>
        <c:ser>
          <c:idx val="2"/>
          <c:order val="2"/>
          <c:tx>
            <c:strRef>
              <c:f>'Comparison with 2018'!$B$36</c:f>
              <c:strCache>
                <c:ptCount val="1"/>
                <c:pt idx="0">
                  <c:v>Baseline scenario (2018 year stress test)</c:v>
                </c:pt>
              </c:strCache>
            </c:strRef>
          </c:tx>
          <c:spPr>
            <a:ln w="25400">
              <a:solidFill>
                <a:schemeClr val="accent2"/>
              </a:solidFill>
              <a:prstDash val="sysDash"/>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2018'!$I$7:$I$8,'Comparison with 2018'!$I$10:$I$12)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F1E-4B4B-9BE9-E6CDB8CB5718}"/>
            </c:ext>
          </c:extLst>
        </c:ser>
        <c:ser>
          <c:idx val="3"/>
          <c:order val="3"/>
          <c:tx>
            <c:strRef>
              <c:f>'Comparison with 2018'!$B$37</c:f>
              <c:strCache>
                <c:ptCount val="1"/>
                <c:pt idx="0">
                  <c:v>Adverse scenario (2018 year stress test)</c:v>
                </c:pt>
              </c:strCache>
            </c:strRef>
          </c:tx>
          <c:spPr>
            <a:ln w="25400">
              <a:solidFill>
                <a:schemeClr val="accent4"/>
              </a:solidFill>
              <a:prstDash val="sysDash"/>
            </a:ln>
          </c:spPr>
          <c:marker>
            <c:symbol val="none"/>
          </c:marker>
          <c:cat>
            <c:strRef>
              <c:f>('Comparison with 2018'!$B$7:$B$8,'Comparison with 2018'!$B$10:$B$12)</c:f>
              <c:strCache>
                <c:ptCount val="5"/>
                <c:pt idx="0">
                  <c:v>Bank's data as of 1 Jan 2019</c:v>
                </c:pt>
                <c:pt idx="1">
                  <c:v>AQR as of 1 Jan 2019</c:v>
                </c:pt>
                <c:pt idx="2">
                  <c:v>1st</c:v>
                </c:pt>
                <c:pt idx="3">
                  <c:v>2nd</c:v>
                </c:pt>
                <c:pt idx="4">
                  <c:v>3rd</c:v>
                </c:pt>
              </c:strCache>
            </c:strRef>
          </c:cat>
          <c:val>
            <c:numRef>
              <c:f>('Comparison with 2018'!$I$7:$I$8,'Comparison with 2018'!$I$14:$I$16)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F1E-4B4B-9BE9-E6CDB8CB5718}"/>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68083231252736787"/>
          <c:w val="0.9294605809128631"/>
          <c:h val="0.3100933691031134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471723929245686"/>
          <c:y val="3.8783282262340159E-2"/>
          <c:w val="0.85228359612943116"/>
          <c:h val="0.55550802907901475"/>
        </c:manualLayout>
      </c:layout>
      <c:lineChart>
        <c:grouping val="standard"/>
        <c:varyColors val="0"/>
        <c:ser>
          <c:idx val="0"/>
          <c:order val="0"/>
          <c:tx>
            <c:strRef>
              <c:f>'Comparison with group'!$C$5:$F$5</c:f>
              <c:strCache>
                <c:ptCount val="1"/>
              </c:strCache>
            </c:strRef>
          </c:tx>
          <c:spPr>
            <a:ln w="25400" cmpd="sng">
              <a:solidFill>
                <a:srgbClr val="057D46"/>
              </a:solidFill>
              <a:prstDash val="soli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group'!$F$7:$F$8,'Comparison with group'!$F$10:$F$12)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ACB-47B8-A121-F2921D6A3942}"/>
            </c:ext>
          </c:extLst>
        </c:ser>
        <c:ser>
          <c:idx val="1"/>
          <c:order val="1"/>
          <c:tx>
            <c:strRef>
              <c:f>'Comparison with group'!$G$5:$J$5</c:f>
              <c:strCache>
                <c:ptCount val="1"/>
                <c:pt idx="0">
                  <c:v>All banks under stress test</c:v>
                </c:pt>
              </c:strCache>
            </c:strRef>
          </c:tx>
          <c:spPr>
            <a:ln w="25400" cmpd="sng">
              <a:solidFill>
                <a:srgbClr val="91C864"/>
              </a:solidFill>
              <a:prstDash val="solid"/>
            </a:ln>
          </c:spPr>
          <c:marker>
            <c:symbol val="none"/>
          </c:marker>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group'!$J$7,'Comparison with group'!$J$8,'Comparison with group'!$J$10:$J$12)</c:f>
              <c:numCache>
                <c:formatCode>0.0%</c:formatCode>
                <c:ptCount val="5"/>
                <c:pt idx="0">
                  <c:v>9.9690908717880208E-2</c:v>
                </c:pt>
                <c:pt idx="1">
                  <c:v>9.8826503792522613E-2</c:v>
                </c:pt>
                <c:pt idx="2">
                  <c:v>0.12818150060658851</c:v>
                </c:pt>
                <c:pt idx="3">
                  <c:v>0.16482591576237421</c:v>
                </c:pt>
                <c:pt idx="4">
                  <c:v>0.19819035393377454</c:v>
                </c:pt>
              </c:numCache>
            </c:numRef>
          </c:val>
          <c:smooth val="0"/>
          <c:extLst>
            <c:ext xmlns:c16="http://schemas.microsoft.com/office/drawing/2014/chart" uri="{C3380CC4-5D6E-409C-BE32-E72D297353CC}">
              <c16:uniqueId val="{00000007-FACB-47B8-A121-F2921D6A3942}"/>
            </c:ext>
          </c:extLst>
        </c:ser>
        <c:ser>
          <c:idx val="3"/>
          <c:order val="2"/>
          <c:tx>
            <c:strRef>
              <c:f>'Comparison with group'!$K$5:$N$5</c:f>
              <c:strCache>
                <c:ptCount val="1"/>
              </c:strCache>
            </c:strRef>
          </c:tx>
          <c:spPr>
            <a:ln w="25400" cmpd="sng">
              <a:solidFill>
                <a:srgbClr val="46AFE6"/>
              </a:solidFill>
              <a:prstDash val="solid"/>
            </a:ln>
          </c:spPr>
          <c:marker>
            <c:symbol val="none"/>
          </c:marker>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group'!$M$7:$M$8,'Comparison with group'!$M$10:$M$12)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FACB-47B8-A121-F2921D6A3942}"/>
            </c:ext>
          </c:extLst>
        </c:ser>
        <c:ser>
          <c:idx val="2"/>
          <c:order val="3"/>
          <c:tx>
            <c:strRef>
              <c:f>'Comparison with group'!$B$38</c:f>
              <c:strCache>
                <c:ptCount val="1"/>
                <c:pt idx="0">
                  <c:v>Hurdle rate of core capital ratio under baseline scenario</c:v>
                </c:pt>
              </c:strCache>
            </c:strRef>
          </c:tx>
          <c:spPr>
            <a:ln w="25400">
              <a:solidFill>
                <a:srgbClr val="C84B64"/>
              </a:solidFill>
              <a:prstDash val="sysDash"/>
            </a:ln>
          </c:spPr>
          <c:marker>
            <c:symbol val="none"/>
          </c:marker>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group'!$O$7:$O$8,'Comparison with group'!$O$10:$O$12)</c:f>
              <c:numCache>
                <c:formatCode>0%</c:formatCode>
                <c:ptCount val="5"/>
                <c:pt idx="0">
                  <c:v>7.0000000000000007E-2</c:v>
                </c:pt>
                <c:pt idx="1">
                  <c:v>7.0000000000000007E-2</c:v>
                </c:pt>
                <c:pt idx="2">
                  <c:v>7.0000000000000007E-2</c:v>
                </c:pt>
                <c:pt idx="3">
                  <c:v>7.0000000000000007E-2</c:v>
                </c:pt>
                <c:pt idx="4">
                  <c:v>7.0000000000000007E-2</c:v>
                </c:pt>
              </c:numCache>
            </c:numRef>
          </c:val>
          <c:smooth val="0"/>
          <c:extLst>
            <c:ext xmlns:c16="http://schemas.microsoft.com/office/drawing/2014/chart" uri="{C3380CC4-5D6E-409C-BE32-E72D297353CC}">
              <c16:uniqueId val="{00000005-FACB-47B8-A121-F2921D6A3942}"/>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832031846733106"/>
          <c:w val="0.96491228070175439"/>
          <c:h val="0.1765279512594016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778398692810458"/>
          <c:y val="5.4397180762852403E-2"/>
          <c:w val="0.85679914232389698"/>
          <c:h val="0.59223168018395245"/>
        </c:manualLayout>
      </c:layout>
      <c:lineChart>
        <c:grouping val="standard"/>
        <c:varyColors val="0"/>
        <c:ser>
          <c:idx val="0"/>
          <c:order val="0"/>
          <c:tx>
            <c:strRef>
              <c:f>'Comparison with group'!$C$5:$F$5</c:f>
              <c:strCache>
                <c:ptCount val="1"/>
              </c:strCache>
            </c:strRef>
          </c:tx>
          <c:spPr>
            <a:ln w="25400">
              <a:solidFill>
                <a:srgbClr val="057D46"/>
              </a:solid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group'!$F$7:$F$8,'Comparison with group'!$F$14:$F$16)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B8A2-43B1-9333-AB5A59F928C1}"/>
            </c:ext>
          </c:extLst>
        </c:ser>
        <c:ser>
          <c:idx val="1"/>
          <c:order val="1"/>
          <c:tx>
            <c:strRef>
              <c:f>'Comparison with group'!$G$5:$J$5</c:f>
              <c:strCache>
                <c:ptCount val="1"/>
                <c:pt idx="0">
                  <c:v>All banks under stress test</c:v>
                </c:pt>
              </c:strCache>
            </c:strRef>
          </c:tx>
          <c:spPr>
            <a:ln w="25400">
              <a:solidFill>
                <a:srgbClr val="91C864"/>
              </a:solidFill>
            </a:ln>
          </c:spPr>
          <c:marker>
            <c:symbol val="none"/>
          </c:marker>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group'!$J$7:$J$8,'Comparison with group'!$J$14:$J$16)</c:f>
              <c:numCache>
                <c:formatCode>0.0%</c:formatCode>
                <c:ptCount val="5"/>
                <c:pt idx="0">
                  <c:v>9.9690908717880208E-2</c:v>
                </c:pt>
                <c:pt idx="1">
                  <c:v>9.8826503792522613E-2</c:v>
                </c:pt>
                <c:pt idx="2">
                  <c:v>2.8547705381266626E-2</c:v>
                </c:pt>
                <c:pt idx="3">
                  <c:v>2.4352571186846989E-2</c:v>
                </c:pt>
                <c:pt idx="4">
                  <c:v>3.2252570931592117E-2</c:v>
                </c:pt>
              </c:numCache>
            </c:numRef>
          </c:val>
          <c:smooth val="0"/>
          <c:extLst>
            <c:ext xmlns:c16="http://schemas.microsoft.com/office/drawing/2014/chart" uri="{C3380CC4-5D6E-409C-BE32-E72D297353CC}">
              <c16:uniqueId val="{00000004-B8A2-43B1-9333-AB5A59F928C1}"/>
            </c:ext>
          </c:extLst>
        </c:ser>
        <c:ser>
          <c:idx val="3"/>
          <c:order val="2"/>
          <c:tx>
            <c:strRef>
              <c:f>'Comparison with group'!$K$5:$N$5</c:f>
              <c:strCache>
                <c:ptCount val="1"/>
              </c:strCache>
            </c:strRef>
          </c:tx>
          <c:spPr>
            <a:ln w="25400">
              <a:solidFill>
                <a:srgbClr val="46AFE6"/>
              </a:solidFill>
            </a:ln>
          </c:spPr>
          <c:marker>
            <c:symbol val="none"/>
          </c:marker>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group'!$N$7:$N$8,'Comparison with group'!$N$14:$N$16)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B8A2-43B1-9333-AB5A59F928C1}"/>
            </c:ext>
          </c:extLst>
        </c:ser>
        <c:ser>
          <c:idx val="2"/>
          <c:order val="3"/>
          <c:tx>
            <c:strRef>
              <c:f>'Comparison with group'!$B$39</c:f>
              <c:strCache>
                <c:ptCount val="1"/>
                <c:pt idx="0">
                  <c:v>Hurdle rate of core capital ratio under adverse scenario</c:v>
                </c:pt>
              </c:strCache>
            </c:strRef>
          </c:tx>
          <c:spPr>
            <a:ln w="25400">
              <a:solidFill>
                <a:srgbClr val="C84B64"/>
              </a:solidFill>
              <a:prstDash val="sysDash"/>
            </a:ln>
          </c:spPr>
          <c:marker>
            <c:symbol val="none"/>
          </c:marker>
          <c:cat>
            <c:strRef>
              <c:f>('Comparison with group'!$B$7:$B$8,'Comparison with group'!$B$10:$B$12)</c:f>
              <c:strCache>
                <c:ptCount val="5"/>
                <c:pt idx="0">
                  <c:v>Bank's data as of 1 Jan 2019</c:v>
                </c:pt>
                <c:pt idx="1">
                  <c:v>AQR as of 1 Jan 2019</c:v>
                </c:pt>
                <c:pt idx="2">
                  <c:v>1st</c:v>
                </c:pt>
                <c:pt idx="3">
                  <c:v>2nd</c:v>
                </c:pt>
                <c:pt idx="4">
                  <c:v>3rd</c:v>
                </c:pt>
              </c:strCache>
            </c:strRef>
          </c:cat>
          <c:val>
            <c:numRef>
              <c:f>('Comparison with group'!$O$14:$O$15,'Comparison with group'!$O$14:$O$16)</c:f>
              <c:numCache>
                <c:formatCode>0.0%</c:formatCode>
                <c:ptCount val="5"/>
                <c:pt idx="0">
                  <c:v>3.5000000000000003E-2</c:v>
                </c:pt>
                <c:pt idx="1">
                  <c:v>3.5000000000000003E-2</c:v>
                </c:pt>
                <c:pt idx="2">
                  <c:v>3.5000000000000003E-2</c:v>
                </c:pt>
                <c:pt idx="3">
                  <c:v>3.5000000000000003E-2</c:v>
                </c:pt>
                <c:pt idx="4">
                  <c:v>3.5000000000000003E-2</c:v>
                </c:pt>
              </c:numCache>
            </c:numRef>
          </c:val>
          <c:smooth val="0"/>
          <c:extLst>
            <c:ext xmlns:c16="http://schemas.microsoft.com/office/drawing/2014/chart" uri="{C3380CC4-5D6E-409C-BE32-E72D297353CC}">
              <c16:uniqueId val="{00000006-B8A2-43B1-9333-AB5A59F928C1}"/>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634421820743885"/>
          <c:w val="0.99182450980392156"/>
          <c:h val="0.193655781792561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banks'!$C$6:$C$7,'Comparison of banks'!$C$9:$C$11)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7-6D8D-439A-B8A4-E85CC364BD05}"/>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banks'!$G$6:$G$7,'Comparison of banks'!$G$9:$G$11)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6D8D-439A-B8A4-E85CC364BD05}"/>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banks'!$K$6:$K$7,'Comparison of banks'!$K$9:$K$11)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9-6D8D-439A-B8A4-E85CC364BD05}"/>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1 Jan 2019</c:v>
                </c:pt>
                <c:pt idx="1">
                  <c:v>AQR as of 1 Jan 2019</c:v>
                </c:pt>
                <c:pt idx="2">
                  <c:v>1st</c:v>
                </c:pt>
                <c:pt idx="3">
                  <c:v>2nd</c:v>
                </c:pt>
                <c:pt idx="4">
                  <c:v>3rd</c:v>
                </c:pt>
              </c:strCache>
            </c:strRef>
          </c:cat>
          <c:val>
            <c:numRef>
              <c:f>('Comparison of banks'!$O$6:$O$7,'Comparison of banks'!$O$9:$O$11)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6D8D-439A-B8A4-E85CC364BD05}"/>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136894060989919"/>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23" dropStyle="combo" dx="20" fmlaLink="$C$2" fmlaRange="'Data table'!$C$10:$C$39" sel="30" val="7"/>
</file>

<file path=xl/ctrlProps/ctrlProp10.xml><?xml version="1.0" encoding="utf-8"?>
<formControlPr xmlns="http://schemas.microsoft.com/office/spreadsheetml/2009/9/main" objectType="Drop" dropLines="23" dropStyle="combo" dx="20" fmlaLink="$O$4" fmlaRange="'Data table'!$C$10:$C$39" sel="30" val="7"/>
</file>

<file path=xl/ctrlProps/ctrlProp11.xml><?xml version="1.0" encoding="utf-8"?>
<formControlPr xmlns="http://schemas.microsoft.com/office/spreadsheetml/2009/9/main" objectType="Drop" dropLines="2" dropStyle="combo" dx="20" fmlaLink="'Individual banks'!$J$1" fmlaRange="'Individual banks'!$B$35:$B$36" sel="2" val="0"/>
</file>

<file path=xl/ctrlProps/ctrlProp12.xml><?xml version="1.0" encoding="utf-8"?>
<formControlPr xmlns="http://schemas.microsoft.com/office/spreadsheetml/2009/9/main" objectType="Drop" dropLines="23" dropStyle="combo" dx="20" fmlaLink="$E$4" fmlaRange="'Data table'!$C$10:$C$39" sel="30" val="7"/>
</file>

<file path=xl/ctrlProps/ctrlProp13.xml><?xml version="1.0" encoding="utf-8"?>
<formControlPr xmlns="http://schemas.microsoft.com/office/spreadsheetml/2009/9/main" objectType="Drop" dropLines="23" dropStyle="combo" dx="20" fmlaLink="$G$4" fmlaRange="'Data table'!$C$10:$C$39" sel="30" val="7"/>
</file>

<file path=xl/ctrlProps/ctrlProp14.xml><?xml version="1.0" encoding="utf-8"?>
<formControlPr xmlns="http://schemas.microsoft.com/office/spreadsheetml/2009/9/main" objectType="Drop" dropLines="23" dropStyle="combo" dx="20" fmlaLink="$I$4" fmlaRange="'Data table'!$C$10:$C$39" sel="30" val="7"/>
</file>

<file path=xl/ctrlProps/ctrlProp15.xml><?xml version="1.0" encoding="utf-8"?>
<formControlPr xmlns="http://schemas.microsoft.com/office/spreadsheetml/2009/9/main" objectType="Drop" dropLines="23" dropStyle="combo" dx="20" fmlaLink="$K$4" fmlaRange="'Data table'!$C$10:$C$39" sel="30" val="7"/>
</file>

<file path=xl/ctrlProps/ctrlProp16.xml><?xml version="1.0" encoding="utf-8"?>
<formControlPr xmlns="http://schemas.microsoft.com/office/spreadsheetml/2009/9/main" objectType="Drop" dropLines="2" dropStyle="combo" dx="20" fmlaLink="'Individual banks'!$J$1" fmlaRange="'Individual banks'!$B$35:$B$36" sel="2" val="0"/>
</file>

<file path=xl/ctrlProps/ctrlProp17.xml><?xml version="1.0" encoding="utf-8"?>
<formControlPr xmlns="http://schemas.microsoft.com/office/spreadsheetml/2009/9/main" objectType="Drop" dropLines="2" dropStyle="combo" dx="20" fmlaLink="'Individual banks'!$J$1" fmlaRange="'Individual banks'!$B$35:$B$36" sel="2" val="0"/>
</file>

<file path=xl/ctrlProps/ctrlProp18.xml><?xml version="1.0" encoding="utf-8"?>
<formControlPr xmlns="http://schemas.microsoft.com/office/spreadsheetml/2009/9/main" objectType="Drop" dropLines="2" dropStyle="combo" dx="20" fmlaLink="'Individual banks'!$J$1" fmlaRange="'Individual banks'!$B$35:$B$36" sel="2" val="0"/>
</file>

<file path=xl/ctrlProps/ctrlProp2.xml><?xml version="1.0" encoding="utf-8"?>
<formControlPr xmlns="http://schemas.microsoft.com/office/spreadsheetml/2009/9/main" objectType="Drop" dropLines="2" dropStyle="combo" dx="20" fmlaLink="$J$1" fmlaRange="$B$35:$B$36" sel="2" val="0"/>
</file>

<file path=xl/ctrlProps/ctrlProp3.xml><?xml version="1.0" encoding="utf-8"?>
<formControlPr xmlns="http://schemas.microsoft.com/office/spreadsheetml/2009/9/main" objectType="Drop" dropLines="23" dropStyle="combo" dx="20" fmlaLink="$H$2" fmlaRange="'Data table'!$C$10:$C$39" sel="30" val="7"/>
</file>

<file path=xl/ctrlProps/ctrlProp4.xml><?xml version="1.0" encoding="utf-8"?>
<formControlPr xmlns="http://schemas.microsoft.com/office/spreadsheetml/2009/9/main" objectType="Drop" dropLines="2" dropStyle="combo" dx="20" fmlaLink="'Individual banks'!$J$1" fmlaRange="'Individual banks'!$B$35:$B$36" sel="2" val="0"/>
</file>

<file path=xl/ctrlProps/ctrlProp5.xml><?xml version="1.0" encoding="utf-8"?>
<formControlPr xmlns="http://schemas.microsoft.com/office/spreadsheetml/2009/9/main" objectType="Drop" dropLines="23" dropStyle="combo" dx="20" fmlaLink="$H$2" fmlaRange="'Data table'!$C$10:$C$39" sel="30" val="7"/>
</file>

<file path=xl/ctrlProps/ctrlProp6.xml><?xml version="1.0" encoding="utf-8"?>
<formControlPr xmlns="http://schemas.microsoft.com/office/spreadsheetml/2009/9/main" objectType="Drop" dropLines="2" dropStyle="combo" dx="20" fmlaLink="'Individual banks'!$J$1" fmlaRange="'Individual banks'!$B$35:$B$36" sel="2" val="0"/>
</file>

<file path=xl/ctrlProps/ctrlProp7.xml><?xml version="1.0" encoding="utf-8"?>
<formControlPr xmlns="http://schemas.microsoft.com/office/spreadsheetml/2009/9/main" objectType="Drop" dropLines="23" dropStyle="combo" dx="20" fmlaLink="$C$4" fmlaRange="'Data table'!$C$10:$C$39" sel="30" val="7"/>
</file>

<file path=xl/ctrlProps/ctrlProp8.xml><?xml version="1.0" encoding="utf-8"?>
<formControlPr xmlns="http://schemas.microsoft.com/office/spreadsheetml/2009/9/main" objectType="Drop" dropLines="23" dropStyle="combo" dx="20" fmlaLink="$G$4" fmlaRange="'Data table'!$C$10:$C$39" sel="30" val="7"/>
</file>

<file path=xl/ctrlProps/ctrlProp9.xml><?xml version="1.0" encoding="utf-8"?>
<formControlPr xmlns="http://schemas.microsoft.com/office/spreadsheetml/2009/9/main" objectType="Drop" dropLines="23" dropStyle="combo" dx="20" fmlaLink="$K$4" fmlaRange="'Data table'!$C$10:$C$39" sel="30" val="7"/>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6</xdr:col>
      <xdr:colOff>189687</xdr:colOff>
      <xdr:row>15</xdr:row>
      <xdr:rowOff>294155</xdr:rowOff>
    </xdr:from>
    <xdr:to>
      <xdr:col>9</xdr:col>
      <xdr:colOff>694746</xdr:colOff>
      <xdr:row>30</xdr:row>
      <xdr:rowOff>133284</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130307</xdr:colOff>
      <xdr:row>16</xdr:row>
      <xdr:rowOff>40862</xdr:rowOff>
    </xdr:from>
    <xdr:to>
      <xdr:col>5</xdr:col>
      <xdr:colOff>718289</xdr:colOff>
      <xdr:row>31</xdr:row>
      <xdr:rowOff>143435</xdr:rowOff>
    </xdr:to>
    <xdr:graphicFrame macro="">
      <xdr:nvGraphicFramePr>
        <xdr:cNvPr id="3"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2499360</xdr:colOff>
          <xdr:row>0</xdr:row>
          <xdr:rowOff>91440</xdr:rowOff>
        </xdr:from>
        <xdr:to>
          <xdr:col>4</xdr:col>
          <xdr:colOff>739140</xdr:colOff>
          <xdr:row>1</xdr:row>
          <xdr:rowOff>137160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0</xdr:row>
          <xdr:rowOff>15240</xdr:rowOff>
        </xdr:from>
        <xdr:to>
          <xdr:col>11</xdr:col>
          <xdr:colOff>30480</xdr:colOff>
          <xdr:row>1</xdr:row>
          <xdr:rowOff>53340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67891</xdr:colOff>
      <xdr:row>20</xdr:row>
      <xdr:rowOff>148903</xdr:rowOff>
    </xdr:from>
    <xdr:to>
      <xdr:col>3</xdr:col>
      <xdr:colOff>571500</xdr:colOff>
      <xdr:row>37</xdr:row>
      <xdr:rowOff>170889</xdr:rowOff>
    </xdr:to>
    <xdr:graphicFrame macro="">
      <xdr:nvGraphicFramePr>
        <xdr:cNvPr id="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710134</xdr:colOff>
      <xdr:row>20</xdr:row>
      <xdr:rowOff>139594</xdr:rowOff>
    </xdr:from>
    <xdr:to>
      <xdr:col>7</xdr:col>
      <xdr:colOff>185057</xdr:colOff>
      <xdr:row>38</xdr:row>
      <xdr:rowOff>53009</xdr:rowOff>
    </xdr:to>
    <xdr:graphicFrame macro="">
      <xdr:nvGraphicFramePr>
        <xdr:cNvPr id="3"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7620</xdr:colOff>
          <xdr:row>0</xdr:row>
          <xdr:rowOff>152400</xdr:rowOff>
        </xdr:from>
        <xdr:to>
          <xdr:col>9</xdr:col>
          <xdr:colOff>114300</xdr:colOff>
          <xdr:row>2</xdr:row>
          <xdr:rowOff>30480</xdr:rowOff>
        </xdr:to>
        <xdr:sp macro="" textlink="">
          <xdr:nvSpPr>
            <xdr:cNvPr id="19457" name="Drop Down 1" hidden="1">
              <a:extLst>
                <a:ext uri="{63B3BB69-23CF-44E3-9099-C40C66FF867C}">
                  <a14:compatExt spid="_x0000_s19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487680</xdr:colOff>
          <xdr:row>0</xdr:row>
          <xdr:rowOff>7620</xdr:rowOff>
        </xdr:from>
        <xdr:to>
          <xdr:col>11</xdr:col>
          <xdr:colOff>45720</xdr:colOff>
          <xdr:row>1</xdr:row>
          <xdr:rowOff>38100</xdr:rowOff>
        </xdr:to>
        <xdr:sp macro="" textlink="">
          <xdr:nvSpPr>
            <xdr:cNvPr id="19461" name="Drop Down 5" hidden="1">
              <a:extLst>
                <a:ext uri="{63B3BB69-23CF-44E3-9099-C40C66FF867C}">
                  <a14:compatExt spid="_x0000_s19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217713</xdr:colOff>
      <xdr:row>20</xdr:row>
      <xdr:rowOff>152398</xdr:rowOff>
    </xdr:from>
    <xdr:to>
      <xdr:col>11</xdr:col>
      <xdr:colOff>79362</xdr:colOff>
      <xdr:row>38</xdr:row>
      <xdr:rowOff>39756</xdr:rowOff>
    </xdr:to>
    <xdr:graphicFrame macro="">
      <xdr:nvGraphicFramePr>
        <xdr:cNvPr id="11"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152398</xdr:colOff>
      <xdr:row>20</xdr:row>
      <xdr:rowOff>141514</xdr:rowOff>
    </xdr:from>
    <xdr:to>
      <xdr:col>15</xdr:col>
      <xdr:colOff>76199</xdr:colOff>
      <xdr:row>38</xdr:row>
      <xdr:rowOff>46383</xdr:rowOff>
    </xdr:to>
    <xdr:graphicFrame macro="">
      <xdr:nvGraphicFramePr>
        <xdr:cNvPr id="1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1566621</xdr:colOff>
      <xdr:row>21</xdr:row>
      <xdr:rowOff>18273</xdr:rowOff>
    </xdr:from>
    <xdr:to>
      <xdr:col>5</xdr:col>
      <xdr:colOff>621069</xdr:colOff>
      <xdr:row>37</xdr:row>
      <xdr:rowOff>57148</xdr:rowOff>
    </xdr:to>
    <xdr:graphicFrame macro="">
      <xdr:nvGraphicFramePr>
        <xdr:cNvPr id="5"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31453</xdr:colOff>
      <xdr:row>20</xdr:row>
      <xdr:rowOff>124902</xdr:rowOff>
    </xdr:from>
    <xdr:to>
      <xdr:col>10</xdr:col>
      <xdr:colOff>653501</xdr:colOff>
      <xdr:row>36</xdr:row>
      <xdr:rowOff>39780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822960</xdr:colOff>
          <xdr:row>0</xdr:row>
          <xdr:rowOff>160020</xdr:rowOff>
        </xdr:from>
        <xdr:to>
          <xdr:col>10</xdr:col>
          <xdr:colOff>83820</xdr:colOff>
          <xdr:row>2</xdr:row>
          <xdr:rowOff>30480</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0</xdr:row>
          <xdr:rowOff>7620</xdr:rowOff>
        </xdr:from>
        <xdr:to>
          <xdr:col>15</xdr:col>
          <xdr:colOff>0</xdr:colOff>
          <xdr:row>1</xdr:row>
          <xdr:rowOff>38100</xdr:rowOff>
        </xdr:to>
        <xdr:sp macro="" textlink="">
          <xdr:nvSpPr>
            <xdr:cNvPr id="2053" name="Drop Down 5"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1604682</xdr:colOff>
      <xdr:row>19</xdr:row>
      <xdr:rowOff>161150</xdr:rowOff>
    </xdr:from>
    <xdr:to>
      <xdr:col>5</xdr:col>
      <xdr:colOff>621600</xdr:colOff>
      <xdr:row>35</xdr:row>
      <xdr:rowOff>3521</xdr:rowOff>
    </xdr:to>
    <xdr:graphicFrame macro="">
      <xdr:nvGraphicFramePr>
        <xdr:cNvPr id="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699247</xdr:colOff>
      <xdr:row>20</xdr:row>
      <xdr:rowOff>8965</xdr:rowOff>
    </xdr:from>
    <xdr:to>
      <xdr:col>9</xdr:col>
      <xdr:colOff>583155</xdr:colOff>
      <xdr:row>35</xdr:row>
      <xdr:rowOff>21665</xdr:rowOff>
    </xdr:to>
    <xdr:graphicFrame macro="">
      <xdr:nvGraphicFramePr>
        <xdr:cNvPr id="4"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644339</xdr:colOff>
      <xdr:row>19</xdr:row>
      <xdr:rowOff>144555</xdr:rowOff>
    </xdr:from>
    <xdr:to>
      <xdr:col>13</xdr:col>
      <xdr:colOff>629996</xdr:colOff>
      <xdr:row>34</xdr:row>
      <xdr:rowOff>157255</xdr:rowOff>
    </xdr:to>
    <xdr:graphicFrame macro="">
      <xdr:nvGraphicFramePr>
        <xdr:cNvPr id="5"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100853</xdr:colOff>
      <xdr:row>19</xdr:row>
      <xdr:rowOff>145117</xdr:rowOff>
    </xdr:from>
    <xdr:to>
      <xdr:col>17</xdr:col>
      <xdr:colOff>722106</xdr:colOff>
      <xdr:row>34</xdr:row>
      <xdr:rowOff>157817</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312420</xdr:colOff>
          <xdr:row>3</xdr:row>
          <xdr:rowOff>45720</xdr:rowOff>
        </xdr:from>
        <xdr:to>
          <xdr:col>5</xdr:col>
          <xdr:colOff>426720</xdr:colOff>
          <xdr:row>3</xdr:row>
          <xdr:rowOff>266700</xdr:rowOff>
        </xdr:to>
        <xdr:sp macro="" textlink="">
          <xdr:nvSpPr>
            <xdr:cNvPr id="6146" name="Drop Dow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xdr:row>
          <xdr:rowOff>38100</xdr:rowOff>
        </xdr:from>
        <xdr:to>
          <xdr:col>9</xdr:col>
          <xdr:colOff>411480</xdr:colOff>
          <xdr:row>3</xdr:row>
          <xdr:rowOff>259080</xdr:rowOff>
        </xdr:to>
        <xdr:sp macro="" textlink="">
          <xdr:nvSpPr>
            <xdr:cNvPr id="6147" name="Drop Down 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3</xdr:row>
          <xdr:rowOff>45720</xdr:rowOff>
        </xdr:from>
        <xdr:to>
          <xdr:col>13</xdr:col>
          <xdr:colOff>518160</xdr:colOff>
          <xdr:row>3</xdr:row>
          <xdr:rowOff>274320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3</xdr:row>
          <xdr:rowOff>38100</xdr:rowOff>
        </xdr:from>
        <xdr:to>
          <xdr:col>17</xdr:col>
          <xdr:colOff>411480</xdr:colOff>
          <xdr:row>3</xdr:row>
          <xdr:rowOff>266700</xdr:rowOff>
        </xdr:to>
        <xdr:sp macro="" textlink="">
          <xdr:nvSpPr>
            <xdr:cNvPr id="6150" name="Drop Down 6" hidden="1">
              <a:extLst>
                <a:ext uri="{63B3BB69-23CF-44E3-9099-C40C66FF867C}">
                  <a14:compatExt spid="_x0000_s6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502920</xdr:colOff>
          <xdr:row>0</xdr:row>
          <xdr:rowOff>0</xdr:rowOff>
        </xdr:from>
        <xdr:to>
          <xdr:col>18</xdr:col>
          <xdr:colOff>7620</xdr:colOff>
          <xdr:row>1</xdr:row>
          <xdr:rowOff>30480</xdr:rowOff>
        </xdr:to>
        <xdr:sp macro="" textlink="">
          <xdr:nvSpPr>
            <xdr:cNvPr id="6151" name="Drop Down 7" hidden="1">
              <a:extLst>
                <a:ext uri="{63B3BB69-23CF-44E3-9099-C40C66FF867C}">
                  <a14:compatExt spid="_x0000_s6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151050</xdr:colOff>
      <xdr:row>30</xdr:row>
      <xdr:rowOff>519954</xdr:rowOff>
    </xdr:from>
    <xdr:to>
      <xdr:col>3</xdr:col>
      <xdr:colOff>1265003</xdr:colOff>
      <xdr:row>42</xdr:row>
      <xdr:rowOff>98612</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22860</xdr:colOff>
          <xdr:row>3</xdr:row>
          <xdr:rowOff>106680</xdr:rowOff>
        </xdr:from>
        <xdr:to>
          <xdr:col>6</xdr:col>
          <xdr:colOff>0</xdr:colOff>
          <xdr:row>3</xdr:row>
          <xdr:rowOff>342900</xdr:rowOff>
        </xdr:to>
        <xdr:sp macro="" textlink="">
          <xdr:nvSpPr>
            <xdr:cNvPr id="4100" name="Drop Down 4"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xdr:row>
          <xdr:rowOff>99060</xdr:rowOff>
        </xdr:from>
        <xdr:to>
          <xdr:col>7</xdr:col>
          <xdr:colOff>632460</xdr:colOff>
          <xdr:row>3</xdr:row>
          <xdr:rowOff>335280</xdr:rowOff>
        </xdr:to>
        <xdr:sp macro="" textlink="">
          <xdr:nvSpPr>
            <xdr:cNvPr id="4101" name="Drop Down 5" hidden="1">
              <a:extLst>
                <a:ext uri="{63B3BB69-23CF-44E3-9099-C40C66FF867C}">
                  <a14:compatExt spid="_x0000_s4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xdr:row>
          <xdr:rowOff>99060</xdr:rowOff>
        </xdr:from>
        <xdr:to>
          <xdr:col>9</xdr:col>
          <xdr:colOff>1272540</xdr:colOff>
          <xdr:row>3</xdr:row>
          <xdr:rowOff>327660</xdr:rowOff>
        </xdr:to>
        <xdr:sp macro="" textlink="">
          <xdr:nvSpPr>
            <xdr:cNvPr id="4103" name="Drop Down 7"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xdr:row>
          <xdr:rowOff>99060</xdr:rowOff>
        </xdr:from>
        <xdr:to>
          <xdr:col>11</xdr:col>
          <xdr:colOff>1310640</xdr:colOff>
          <xdr:row>3</xdr:row>
          <xdr:rowOff>327660</xdr:rowOff>
        </xdr:to>
        <xdr:sp macro="" textlink="">
          <xdr:nvSpPr>
            <xdr:cNvPr id="4104" name="Drop Down 8"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0</xdr:row>
          <xdr:rowOff>7620</xdr:rowOff>
        </xdr:from>
        <xdr:to>
          <xdr:col>13</xdr:col>
          <xdr:colOff>7620</xdr:colOff>
          <xdr:row>1</xdr:row>
          <xdr:rowOff>38100</xdr:rowOff>
        </xdr:to>
        <xdr:sp macro="" textlink="">
          <xdr:nvSpPr>
            <xdr:cNvPr id="4106" name="Drop Down 10" hidden="1">
              <a:extLst>
                <a:ext uri="{63B3BB69-23CF-44E3-9099-C40C66FF867C}">
                  <a14:compatExt spid="_x0000_s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145355</xdr:colOff>
      <xdr:row>17</xdr:row>
      <xdr:rowOff>455280</xdr:rowOff>
    </xdr:from>
    <xdr:to>
      <xdr:col>3</xdr:col>
      <xdr:colOff>1261870</xdr:colOff>
      <xdr:row>29</xdr:row>
      <xdr:rowOff>143435</xdr:rowOff>
    </xdr:to>
    <xdr:graphicFrame macro="">
      <xdr:nvGraphicFramePr>
        <xdr:cNvPr id="2" name="Діагра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1388248</xdr:colOff>
      <xdr:row>17</xdr:row>
      <xdr:rowOff>448876</xdr:rowOff>
    </xdr:from>
    <xdr:to>
      <xdr:col>6</xdr:col>
      <xdr:colOff>1002533</xdr:colOff>
      <xdr:row>29</xdr:row>
      <xdr:rowOff>116541</xdr:rowOff>
    </xdr:to>
    <xdr:graphicFrame macro="">
      <xdr:nvGraphicFramePr>
        <xdr:cNvPr id="15" name="Діаграма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32656</xdr:colOff>
      <xdr:row>17</xdr:row>
      <xdr:rowOff>483455</xdr:rowOff>
    </xdr:from>
    <xdr:to>
      <xdr:col>11</xdr:col>
      <xdr:colOff>71485</xdr:colOff>
      <xdr:row>29</xdr:row>
      <xdr:rowOff>107576</xdr:rowOff>
    </xdr:to>
    <xdr:graphicFrame macro="">
      <xdr:nvGraphicFramePr>
        <xdr:cNvPr id="17" name="Діагра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76200</xdr:colOff>
      <xdr:row>17</xdr:row>
      <xdr:rowOff>490497</xdr:rowOff>
    </xdr:from>
    <xdr:to>
      <xdr:col>13</xdr:col>
      <xdr:colOff>49714</xdr:colOff>
      <xdr:row>29</xdr:row>
      <xdr:rowOff>170328</xdr:rowOff>
    </xdr:to>
    <xdr:graphicFrame macro="">
      <xdr:nvGraphicFramePr>
        <xdr:cNvPr id="18" name="Діаграма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1425388</xdr:colOff>
      <xdr:row>30</xdr:row>
      <xdr:rowOff>502024</xdr:rowOff>
    </xdr:from>
    <xdr:to>
      <xdr:col>7</xdr:col>
      <xdr:colOff>2329</xdr:colOff>
      <xdr:row>42</xdr:row>
      <xdr:rowOff>80682</xdr:rowOff>
    </xdr:to>
    <xdr:graphicFrame macro="">
      <xdr:nvGraphicFramePr>
        <xdr:cNvPr id="21" name="Діаграма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30</xdr:row>
      <xdr:rowOff>484095</xdr:rowOff>
    </xdr:from>
    <xdr:to>
      <xdr:col>11</xdr:col>
      <xdr:colOff>47153</xdr:colOff>
      <xdr:row>42</xdr:row>
      <xdr:rowOff>62753</xdr:rowOff>
    </xdr:to>
    <xdr:graphicFrame macro="">
      <xdr:nvGraphicFramePr>
        <xdr:cNvPr id="22" name="Діаграма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71718</xdr:colOff>
      <xdr:row>30</xdr:row>
      <xdr:rowOff>484095</xdr:rowOff>
    </xdr:from>
    <xdr:to>
      <xdr:col>13</xdr:col>
      <xdr:colOff>47154</xdr:colOff>
      <xdr:row>42</xdr:row>
      <xdr:rowOff>62753</xdr:rowOff>
    </xdr:to>
    <xdr:graphicFrame macro="">
      <xdr:nvGraphicFramePr>
        <xdr:cNvPr id="23" name="Діаграма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1485900</xdr:colOff>
          <xdr:row>0</xdr:row>
          <xdr:rowOff>0</xdr:rowOff>
        </xdr:from>
        <xdr:to>
          <xdr:col>10</xdr:col>
          <xdr:colOff>106680</xdr:colOff>
          <xdr:row>1</xdr:row>
          <xdr:rowOff>30480</xdr:rowOff>
        </xdr:to>
        <xdr:sp macro="" textlink="">
          <xdr:nvSpPr>
            <xdr:cNvPr id="9217" name="Drop Down 1" hidden="1">
              <a:extLst>
                <a:ext uri="{63B3BB69-23CF-44E3-9099-C40C66FF867C}">
                  <a14:compatExt spid="_x0000_s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541020</xdr:colOff>
          <xdr:row>0</xdr:row>
          <xdr:rowOff>0</xdr:rowOff>
        </xdr:from>
        <xdr:to>
          <xdr:col>10</xdr:col>
          <xdr:colOff>30480</xdr:colOff>
          <xdr:row>1</xdr:row>
          <xdr:rowOff>30480</xdr:rowOff>
        </xdr:to>
        <xdr:sp macro="" textlink="">
          <xdr:nvSpPr>
            <xdr:cNvPr id="16385" name="Drop Down 1" hidden="1">
              <a:extLst>
                <a:ext uri="{63B3BB69-23CF-44E3-9099-C40C66FF867C}">
                  <a14:compatExt spid="_x0000_s16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fs01\work\DFS\Urgent\Dadashova\model_ST_19\ST_final_results_2019\model_ST_2019.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
      <sheetName val="Capital"/>
      <sheetName val="FinStatement"/>
      <sheetName val="Interest_Inc+Exp"/>
      <sheetName val="Loans_fcast"/>
      <sheetName val="macro"/>
      <sheetName val="Loans_OthAssets_data"/>
      <sheetName val="Inputs_TablesBank"/>
      <sheetName val="ChangeLog"/>
      <sheetName val="!!!ALFA DELETE!!!"/>
      <sheetName val="Сheck_Interest_Income"/>
      <sheetName val="Check_Loans_fcast"/>
      <sheetName val="1_Capital_Chart"/>
      <sheetName val="2_Balance"/>
      <sheetName val="3_Factors"/>
      <sheetName val="4_EAD_CR_Chart"/>
      <sheetName val="5_Interest_Inc+Exp_Chart"/>
      <sheetName val="6_Interest_Rates_Chart"/>
      <sheetName val="7_PandL"/>
      <sheetName val="8_Annexes_1_2"/>
      <sheetName val="8_Annexes_3"/>
    </sheetNames>
    <sheetDataSet>
      <sheetData sheetId="0">
        <row r="6">
          <cell r="C6" t="str">
            <v>UKR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NBU">
      <a:dk1>
        <a:sysClr val="windowText" lastClr="000000"/>
      </a:dk1>
      <a:lt1>
        <a:sysClr val="window" lastClr="FFFFFF"/>
      </a:lt1>
      <a:dk2>
        <a:srgbClr val="505050"/>
      </a:dk2>
      <a:lt2>
        <a:srgbClr val="8C969B"/>
      </a:lt2>
      <a:accent1>
        <a:srgbClr val="057D46"/>
      </a:accent1>
      <a:accent2>
        <a:srgbClr val="91C864"/>
      </a:accent2>
      <a:accent3>
        <a:srgbClr val="7D0532"/>
      </a:accent3>
      <a:accent4>
        <a:srgbClr val="DC4B64"/>
      </a:accent4>
      <a:accent5>
        <a:srgbClr val="005591"/>
      </a:accent5>
      <a:accent6>
        <a:srgbClr val="46AFE6"/>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2.xml"/><Relationship Id="rId7" Type="http://schemas.openxmlformats.org/officeDocument/2006/relationships/ctrlProp" Target="../ctrlProps/ctrlProp16.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dimension ref="A1:O36"/>
  <sheetViews>
    <sheetView tabSelected="1" zoomScale="90" zoomScaleNormal="90" workbookViewId="0">
      <selection activeCell="B13" sqref="B13"/>
    </sheetView>
  </sheetViews>
  <sheetFormatPr defaultColWidth="8.88671875" defaultRowHeight="13.2" x14ac:dyDescent="0.25"/>
  <cols>
    <col min="1" max="1" width="3.6640625" style="29" customWidth="1"/>
    <col min="2" max="2" width="37.77734375" style="29" customWidth="1"/>
    <col min="3" max="5" width="12.33203125" style="29" customWidth="1"/>
    <col min="6" max="10" width="12.44140625" style="29" customWidth="1"/>
    <col min="11" max="11" width="13.44140625" style="29" customWidth="1"/>
    <col min="12" max="12" width="11.88671875" style="29" customWidth="1"/>
    <col min="13" max="16" width="8.88671875" style="29"/>
    <col min="17" max="17" width="3.5546875" style="29" customWidth="1"/>
    <col min="18" max="16384" width="8.88671875" style="29"/>
  </cols>
  <sheetData>
    <row r="1" spans="1:15" x14ac:dyDescent="0.25">
      <c r="J1" s="29">
        <v>2</v>
      </c>
      <c r="K1" s="93" t="str">
        <f>INDEX($B$35:$B$36,J1,1)</f>
        <v>ENG</v>
      </c>
      <c r="L1" s="99" t="str">
        <f>IF($K$1="ENG","Змінити мову тут","Change language here")</f>
        <v>Змінити мову тут</v>
      </c>
    </row>
    <row r="2" spans="1:15" ht="13.8" customHeight="1" x14ac:dyDescent="0.25">
      <c r="B2" s="33" t="str">
        <f>IF($K$1="ENG","Stress test results","Результати стрес-тестування")</f>
        <v>Stress test results</v>
      </c>
      <c r="C2" s="76">
        <v>30</v>
      </c>
      <c r="D2" s="75" t="e">
        <f>INDEX('Data table'!$C$10:$C$38,'Individual banks'!C2,1)</f>
        <v>#REF!</v>
      </c>
      <c r="E2" s="73"/>
      <c r="F2" s="73"/>
      <c r="G2" s="73"/>
    </row>
    <row r="3" spans="1:15" x14ac:dyDescent="0.25">
      <c r="B3" s="39"/>
      <c r="C3" s="39"/>
      <c r="D3" s="39"/>
      <c r="E3" s="39"/>
      <c r="F3" s="39"/>
      <c r="G3" s="39"/>
      <c r="H3" s="39"/>
      <c r="I3" s="39"/>
      <c r="K3" s="40" t="s">
        <v>102</v>
      </c>
    </row>
    <row r="4" spans="1:15" ht="27" customHeight="1" x14ac:dyDescent="0.25">
      <c r="B4" s="175" t="str">
        <f>IF($K$1="ENG","Indicator","Показник")</f>
        <v>Indicator</v>
      </c>
      <c r="C4" s="170" t="str">
        <f>IF($K$1="ENG","Bank's data as of 1 Jan 2019","Дані банку на 01.01.19")</f>
        <v>Bank's data as of 1 Jan 2019</v>
      </c>
      <c r="D4" s="170" t="str">
        <f>IF($K$1="ENG","AQR as of 1 Jan 2019","AQR на 01.01.19")</f>
        <v>AQR as of 1 Jan 2019</v>
      </c>
      <c r="E4" s="170" t="str">
        <f>IF($K$1="ENG","Baseline scenario","За базовим макроекономічним сценарієм")</f>
        <v>Baseline scenario</v>
      </c>
      <c r="F4" s="170"/>
      <c r="G4" s="170"/>
      <c r="H4" s="170" t="str">
        <f>IF($K$1="ENG","Adverse scenario","За несприятливим макроекономічним сценарієм")</f>
        <v>Adverse scenario</v>
      </c>
      <c r="I4" s="170"/>
      <c r="J4" s="170"/>
      <c r="K4" s="170" t="str">
        <f>IF($K$1="ENG","Required (target) level","Необхідний (цільовий) рівень")</f>
        <v>Required (target) level</v>
      </c>
    </row>
    <row r="5" spans="1:15" ht="15.6" customHeight="1" x14ac:dyDescent="0.25">
      <c r="B5" s="175"/>
      <c r="C5" s="171"/>
      <c r="D5" s="171"/>
      <c r="E5" s="116" t="str">
        <f>'Data table'!P7</f>
        <v>1st</v>
      </c>
      <c r="F5" s="116" t="str">
        <f>'Data table'!Q7</f>
        <v>2nd</v>
      </c>
      <c r="G5" s="116" t="str">
        <f>'Data table'!R7</f>
        <v>3rd</v>
      </c>
      <c r="H5" s="116" t="str">
        <f>E5</f>
        <v>1st</v>
      </c>
      <c r="I5" s="116" t="str">
        <f t="shared" ref="I5:J5" si="0">F5</f>
        <v>2nd</v>
      </c>
      <c r="J5" s="116" t="str">
        <f t="shared" si="0"/>
        <v>3rd</v>
      </c>
      <c r="K5" s="171"/>
    </row>
    <row r="6" spans="1:15" ht="13.2" customHeight="1" x14ac:dyDescent="0.25">
      <c r="B6" s="175"/>
      <c r="C6" s="172"/>
      <c r="D6" s="172"/>
      <c r="E6" s="172" t="str">
        <f>'Data table'!P8</f>
        <v>forecast year</v>
      </c>
      <c r="F6" s="172"/>
      <c r="G6" s="172"/>
      <c r="H6" s="172" t="str">
        <f>E6</f>
        <v>forecast year</v>
      </c>
      <c r="I6" s="172"/>
      <c r="J6" s="172"/>
      <c r="K6" s="172"/>
    </row>
    <row r="7" spans="1:15" x14ac:dyDescent="0.25">
      <c r="B7" s="159" t="str">
        <f>'Data table'!E6</f>
        <v>Core capital, UAH mln</v>
      </c>
      <c r="C7" s="144" t="str">
        <f>IFERROR(INDEX('Data table'!$E$10:$BC$38,MATCH('Individual banks'!$D$2,'Data table'!$C$10:$C$38,0),MATCH('Individual banks'!$B7,'Data table'!$E$6:$I$6,0)),"")</f>
        <v/>
      </c>
      <c r="D7" s="144" t="str">
        <f ca="1">IFERROR(OFFSET(INDEX('Data table'!$E$10:$BC$38,MATCH('Individual banks'!$D$2,'Data table'!$C$10:$C$38,0),MATCH('Individual banks'!$B7,'Data table'!$J$6:$O$6,0)),0,5),"")</f>
        <v/>
      </c>
      <c r="E7" s="145" t="str">
        <f ca="1">IFERROR(OFFSET(INDEX('Data table'!$E$10:$BC$38,MATCH('Individual banks'!$D$2,'Data table'!$C$10:$C$38,0),MATCH(E$5,'Data table'!$P$7:$R$7,0)),0,11),"")</f>
        <v/>
      </c>
      <c r="F7" s="145" t="str">
        <f ca="1">IFERROR(OFFSET(INDEX('Data table'!$E$10:$BC$38,MATCH('Individual banks'!$D$2,'Data table'!$C$10:$C$38,0),MATCH(F$5,'Data table'!$P$7:$R$7,0)),0,11),"")</f>
        <v/>
      </c>
      <c r="G7" s="145" t="str">
        <f ca="1">IFERROR(OFFSET(INDEX('Data table'!$E$10:$BC$38,MATCH('Individual banks'!$D$2,'Data table'!$C$10:$C$38,0),MATCH(G$5,'Data table'!$P$7:$R$7,0)),0,11),"")</f>
        <v/>
      </c>
      <c r="H7" s="145" t="str">
        <f ca="1">IFERROR(OFFSET(INDEX('Data table'!$E$10:$BC$38,MATCH('Individual banks'!$D$2,'Data table'!$C$10:$C$38,0),MATCH(H$5,'Data table'!$P$7:$R$7,0)),0,26),"")</f>
        <v/>
      </c>
      <c r="I7" s="145" t="str">
        <f ca="1">IFERROR(OFFSET(INDEX('Data table'!$E$10:$BC$38,MATCH('Individual banks'!$D$2,'Data table'!$C$10:$C$38,0),MATCH(I$5,'Data table'!$P$7:$R$7,0)),0,26),"")</f>
        <v/>
      </c>
      <c r="J7" s="145" t="str">
        <f ca="1">IFERROR(OFFSET(INDEX('Data table'!$E$10:$BC$38,MATCH('Individual banks'!$D$2,'Data table'!$C$10:$C$38,0),MATCH(J$5,'Data table'!$P$7:$R$7,0)),0,26),"")</f>
        <v/>
      </c>
      <c r="K7" s="157" t="s">
        <v>125</v>
      </c>
      <c r="L7" s="69"/>
      <c r="M7" s="69"/>
      <c r="N7" s="85"/>
      <c r="O7" s="85"/>
    </row>
    <row r="8" spans="1:15" x14ac:dyDescent="0.25">
      <c r="B8" s="160" t="str">
        <f>'Data table'!F6</f>
        <v>Regulatory capital, UAH mln</v>
      </c>
      <c r="C8" s="146" t="str">
        <f>IFERROR(INDEX('Data table'!$E$10:$BC$38,MATCH('Individual banks'!$D$2,'Data table'!$C$10:$C$38,0),MATCH('Individual banks'!$B8,'Data table'!$E$6:$I$6,0)),"")</f>
        <v/>
      </c>
      <c r="D8" s="147" t="str">
        <f ca="1">IFERROR(OFFSET(INDEX('Data table'!$E$10:$BC$38,MATCH('Individual banks'!$D$2,'Data table'!$C$10:$C$38,0),MATCH('Individual banks'!$B8,'Data table'!$J$6:$O$6,0)),0,5),"")</f>
        <v/>
      </c>
      <c r="E8" s="148" t="str">
        <f ca="1">IFERROR(OFFSET(INDEX('Data table'!$E$10:$BC$38,MATCH('Individual banks'!$D$2,'Data table'!$C$10:$C$38,0),MATCH(E$5,'Data table'!$P$7:$R$7,0)),0,14),"")</f>
        <v/>
      </c>
      <c r="F8" s="148" t="str">
        <f ca="1">IFERROR(OFFSET(INDEX('Data table'!$E$10:$BC$38,MATCH('Individual banks'!$D$2,'Data table'!$C$10:$C$38,0),MATCH(F$5,'Data table'!$P$7:$R$7,0)),0,14),"")</f>
        <v/>
      </c>
      <c r="G8" s="148" t="str">
        <f ca="1">IFERROR(OFFSET(INDEX('Data table'!$E$10:$BC$38,MATCH('Individual banks'!$D$2,'Data table'!$C$10:$C$38,0),MATCH(G$5,'Data table'!$P$7:$R$7,0)),0,14),"")</f>
        <v/>
      </c>
      <c r="H8" s="148" t="str">
        <f ca="1">IFERROR(OFFSET(INDEX('Data table'!$E$10:$BC$38,MATCH('Individual banks'!$D$2,'Data table'!$C$10:$C$38,0),MATCH(H$5,'Data table'!$P$7:$R$7,0)),0,29),"")</f>
        <v/>
      </c>
      <c r="I8" s="148" t="str">
        <f ca="1">IFERROR(OFFSET(INDEX('Data table'!$E$10:$BC$38,MATCH('Individual banks'!$D$2,'Data table'!$C$10:$C$38,0),MATCH(I$5,'Data table'!$P$7:$R$7,0)),0,29),"")</f>
        <v/>
      </c>
      <c r="J8" s="148" t="str">
        <f ca="1">IFERROR(OFFSET(INDEX('Data table'!$E$10:$BC$38,MATCH('Individual banks'!$D$2,'Data table'!$C$10:$C$38,0),MATCH(J$5,'Data table'!$P$7:$R$7,0)),0,29),"")</f>
        <v/>
      </c>
      <c r="K8" s="112" t="s">
        <v>125</v>
      </c>
      <c r="L8" s="69"/>
      <c r="M8" s="69"/>
      <c r="N8" s="85"/>
      <c r="O8" s="85"/>
    </row>
    <row r="9" spans="1:15" x14ac:dyDescent="0.25">
      <c r="B9" s="161" t="str">
        <f>'Data table'!G6</f>
        <v>CAR</v>
      </c>
      <c r="C9" s="139" t="str">
        <f>IFERROR(INDEX('Data table'!$E$10:$BC$38,MATCH('Individual banks'!$D$2,'Data table'!$C$10:$C$38,0),MATCH('Individual banks'!$B9,'Data table'!$E$6:$I$6,0)),"")</f>
        <v/>
      </c>
      <c r="D9" s="149" t="str">
        <f ca="1">IFERROR(OFFSET(INDEX('Data table'!$E$10:$BC$38,MATCH('Individual banks'!$D$2,'Data table'!$C$10:$C$38,0),MATCH('Individual banks'!$B9,'Data table'!$J$6:$O$6,0)),0,5),"")</f>
        <v/>
      </c>
      <c r="E9" s="150" t="str">
        <f ca="1">IFERROR(OFFSET(INDEX('Data table'!$E$10:$BC$38,MATCH('Individual banks'!$D$2,'Data table'!$C$10:$C$38,0),MATCH(E$5,'Data table'!$P$7:$R$7,0)),0,17),"")</f>
        <v/>
      </c>
      <c r="F9" s="150" t="str">
        <f ca="1">IFERROR(OFFSET(INDEX('Data table'!$E$10:$BC$38,MATCH('Individual banks'!$D$2,'Data table'!$C$10:$C$38,0),MATCH(F$5,'Data table'!$P$7:$R$7,0)),0,17),"")</f>
        <v/>
      </c>
      <c r="G9" s="150" t="str">
        <f ca="1">IFERROR(OFFSET(INDEX('Data table'!$E$10:$BC$38,MATCH('Individual banks'!$D$2,'Data table'!$C$10:$C$38,0),MATCH(G$5,'Data table'!$P$7:$R$7,0)),0,17),"")</f>
        <v/>
      </c>
      <c r="H9" s="150" t="str">
        <f ca="1">IFERROR(OFFSET(INDEX('Data table'!$E$10:$BC$38,MATCH('Individual banks'!$D$2,'Data table'!$C$10:$C$38,0),MATCH(H$5,'Data table'!$P$7:$R$7,0)),0,32),"")</f>
        <v/>
      </c>
      <c r="I9" s="150" t="str">
        <f ca="1">IFERROR(OFFSET(INDEX('Data table'!$E$10:$BC$38,MATCH('Individual banks'!$D$2,'Data table'!$C$10:$C$38,0),MATCH(I$5,'Data table'!$P$7:$R$7,0)),0,32),"")</f>
        <v/>
      </c>
      <c r="J9" s="150" t="str">
        <f ca="1">IFERROR(OFFSET(INDEX('Data table'!$E$10:$BC$38,MATCH('Individual banks'!$D$2,'Data table'!$C$10:$C$38,0),MATCH(J$5,'Data table'!$P$7:$R$7,0)),0,32),"")</f>
        <v/>
      </c>
      <c r="K9" s="151" t="str">
        <f>IFERROR(INDEX('Data table'!$AT$10:$AT$38,MATCH('Individual banks'!$D$2,'Data table'!$C$10:$C$38,0),1),"")</f>
        <v/>
      </c>
      <c r="L9" s="113" t="str">
        <f>IF(OR(K9=10%,K9=""),"",IF($K$1="ENG","Above the minimal required capital adequacy level","Вищий за мінімальний необхідний рівень достатності капіталу"))</f>
        <v/>
      </c>
    </row>
    <row r="10" spans="1:15" x14ac:dyDescent="0.25">
      <c r="B10" s="162" t="str">
        <f>'Data table'!H6</f>
        <v>Core capital ratio</v>
      </c>
      <c r="C10" s="152" t="str">
        <f>IFERROR(INDEX('Data table'!$E$10:$BC$38,MATCH('Individual banks'!$D$2,'Data table'!$C$10:$C$38,0),MATCH('Individual banks'!$B10,'Data table'!$E$6:$I$6,0)),"")</f>
        <v/>
      </c>
      <c r="D10" s="153" t="str">
        <f ca="1">IFERROR(OFFSET(INDEX('Data table'!$E$10:$BC$38,MATCH('Individual banks'!$D$2,'Data table'!$C$10:$C$38,0),MATCH('Individual banks'!$B10,'Data table'!$J$6:$O$6,0)),0,5),"")</f>
        <v/>
      </c>
      <c r="E10" s="154" t="str">
        <f ca="1">IFERROR(OFFSET(INDEX('Data table'!$E$10:$BC$38,MATCH('Individual banks'!$D$2,'Data table'!$C$10:$C$38,0),MATCH(E$5,'Data table'!$P$7:$R$7,0)),0,20),"")</f>
        <v/>
      </c>
      <c r="F10" s="154" t="str">
        <f ca="1">IFERROR(OFFSET(INDEX('Data table'!$E$10:$BC$38,MATCH('Individual banks'!$D$2,'Data table'!$C$10:$C$38,0),MATCH(F$5,'Data table'!$P$7:$R$7,0)),0,20),"")</f>
        <v/>
      </c>
      <c r="G10" s="154" t="str">
        <f ca="1">IFERROR(OFFSET(INDEX('Data table'!$E$10:$BC$38,MATCH('Individual banks'!$D$2,'Data table'!$C$10:$C$38,0),MATCH(G$5,'Data table'!$P$7:$R$7,0)),0,20),"")</f>
        <v/>
      </c>
      <c r="H10" s="154" t="str">
        <f ca="1">IFERROR(OFFSET(INDEX('Data table'!$E$10:$BC$38,MATCH('Individual banks'!$D$2,'Data table'!$C$10:$C$38,0),MATCH(H$5,'Data table'!$P$7:$R$7,0)),0,35),"")</f>
        <v/>
      </c>
      <c r="I10" s="154" t="str">
        <f ca="1">IFERROR(OFFSET(INDEX('Data table'!$E$10:$BC$38,MATCH('Individual banks'!$D$2,'Data table'!$C$10:$C$38,0),MATCH(I$5,'Data table'!$P$7:$R$7,0)),0,35),"")</f>
        <v/>
      </c>
      <c r="J10" s="154" t="str">
        <f ca="1">IFERROR(OFFSET(INDEX('Data table'!$E$10:$BC$38,MATCH('Individual banks'!$D$2,'Data table'!$C$10:$C$38,0),MATCH(J$5,'Data table'!$P$7:$R$7,0)),0,35),"")</f>
        <v/>
      </c>
      <c r="K10" s="155" t="str">
        <f>IFERROR(INDEX('Data table'!$AU$10:$AU$38,MATCH('Individual banks'!$D$2,'Data table'!$C$10:$C$38,0),1),"")</f>
        <v/>
      </c>
      <c r="L10" s="113" t="str">
        <f>IF(OR(K10=7%,K10=""),"",IF($K$1="ENG","Above the minimal required capital adequacy level","Вищий за мінімальний необхідний рівень достатності капіталу"))</f>
        <v/>
      </c>
      <c r="M10" s="69"/>
      <c r="N10" s="85"/>
      <c r="O10" s="85"/>
    </row>
    <row r="11" spans="1:15" ht="13.2" customHeight="1" x14ac:dyDescent="0.25">
      <c r="B11" s="163" t="str">
        <f>IF($K$1="ENG","Hurdle rate of core capital ratio","Граничне значення Н3")</f>
        <v>Hurdle rate of core capital ratio</v>
      </c>
      <c r="C11" s="156" t="str">
        <f>IF(C7="","",7%)</f>
        <v/>
      </c>
      <c r="D11" s="156" t="str">
        <f t="shared" ref="D11:G11" ca="1" si="1">IF(D7="","",7%)</f>
        <v/>
      </c>
      <c r="E11" s="156" t="str">
        <f t="shared" ca="1" si="1"/>
        <v/>
      </c>
      <c r="F11" s="156" t="str">
        <f t="shared" ca="1" si="1"/>
        <v/>
      </c>
      <c r="G11" s="156" t="str">
        <f t="shared" ca="1" si="1"/>
        <v/>
      </c>
      <c r="H11" s="156" t="str">
        <f ca="1">IF(H7="","",3.5%)</f>
        <v/>
      </c>
      <c r="I11" s="156" t="str">
        <f t="shared" ref="I11:J11" ca="1" si="2">IF(I7="","",3.5%)</f>
        <v/>
      </c>
      <c r="J11" s="156" t="str">
        <f t="shared" ca="1" si="2"/>
        <v/>
      </c>
      <c r="K11" s="158" t="s">
        <v>125</v>
      </c>
      <c r="L11" s="69"/>
      <c r="M11" s="69"/>
      <c r="N11" s="85"/>
      <c r="O11" s="85"/>
    </row>
    <row r="12" spans="1:15" ht="25.2" customHeight="1" x14ac:dyDescent="0.25">
      <c r="A12" s="51"/>
      <c r="B12" s="165" t="str">
        <f>IF($K$1="ENG","Change of core capital ratio relative to bank's data as of 1 Jan 2019, pp","Зміна Н3 до даних банку на 01.01.19, в.п.")</f>
        <v>Change of core capital ratio relative to bank's data as of 1 Jan 2019, pp</v>
      </c>
      <c r="C12" s="164" t="str">
        <f>IFERROR((C10-$C$10)*100,"")</f>
        <v/>
      </c>
      <c r="D12" s="164" t="str">
        <f ca="1">IFERROR((D10-$C$10)*100,"")</f>
        <v/>
      </c>
      <c r="E12" s="164" t="str">
        <f t="shared" ref="E12:J12" ca="1" si="3">IFERROR((E10-$C$10)*100,"")</f>
        <v/>
      </c>
      <c r="F12" s="164" t="str">
        <f t="shared" ca="1" si="3"/>
        <v/>
      </c>
      <c r="G12" s="164" t="str">
        <f t="shared" ca="1" si="3"/>
        <v/>
      </c>
      <c r="H12" s="164" t="str">
        <f t="shared" ca="1" si="3"/>
        <v/>
      </c>
      <c r="I12" s="164" t="str">
        <f t="shared" ca="1" si="3"/>
        <v/>
      </c>
      <c r="J12" s="164" t="str">
        <f t="shared" ca="1" si="3"/>
        <v/>
      </c>
      <c r="K12" s="143" t="s">
        <v>125</v>
      </c>
      <c r="L12" s="69"/>
      <c r="M12" s="69"/>
      <c r="N12" s="85" t="str">
        <f>IFERROR(CONCATENATE(B25,G4),B25)</f>
        <v/>
      </c>
      <c r="O12" s="85"/>
    </row>
    <row r="13" spans="1:15" ht="12.6" customHeight="1" x14ac:dyDescent="0.25">
      <c r="B13" s="166" t="str">
        <f>IF($K$1="ENG","AQR – data of asset quality review and collateral eligibility assessment for bank lending, including adjustments in the bank’s financial statements for the reporting year and extrapolation","AQR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AQR – data of asset quality review and collateral eligibility assessment for bank lending, including adjustments in the bank’s financial statements for the reporting year and extrapolation</v>
      </c>
      <c r="J13" s="34"/>
      <c r="K13" s="34"/>
      <c r="L13" s="34"/>
      <c r="M13" s="34"/>
      <c r="N13" s="34"/>
    </row>
    <row r="14" spans="1:15" ht="9" customHeight="1" x14ac:dyDescent="0.25">
      <c r="B14" s="94" t="str">
        <f>IF($K$1="ENG","","ОК - основний капітал, РК - регулятивний капітал, Н2 - норматив достатності (адекватності) регулятивного капіталу, Н3 - норматив достатності (адекватності) основного капіталу.")</f>
        <v/>
      </c>
      <c r="J14" s="34"/>
      <c r="K14" s="34"/>
      <c r="L14" s="59"/>
      <c r="M14" s="59"/>
      <c r="N14" s="86"/>
      <c r="O14" s="85"/>
    </row>
    <row r="15" spans="1:15" ht="31.8" customHeight="1" x14ac:dyDescent="0.25">
      <c r="B15" s="176" t="str">
        <f>IFERROR(IF(OR($D$2="Альфа-Банк**",$D$2="Укрсоцбанк**",$D$2="Alfa-Bank**",$D$2="Ukrsotsbank**"),'Data table'!$A$44,""),"")</f>
        <v/>
      </c>
      <c r="C15" s="176"/>
      <c r="D15" s="176"/>
      <c r="E15" s="176"/>
      <c r="F15" s="176"/>
      <c r="G15" s="176"/>
      <c r="H15" s="176"/>
      <c r="I15" s="176"/>
      <c r="J15" s="176"/>
      <c r="K15" s="176"/>
      <c r="L15" s="69"/>
      <c r="M15" s="69"/>
      <c r="N15" s="85"/>
      <c r="O15" s="85"/>
    </row>
    <row r="16" spans="1:15" ht="27.6" customHeight="1" x14ac:dyDescent="0.25">
      <c r="C16" s="174" t="str">
        <f>IF($K$1="ENG","Core capital ratio","Норматив достатності основного капіталу Н3")</f>
        <v>Core capital ratio</v>
      </c>
      <c r="D16" s="174"/>
      <c r="E16" s="174"/>
      <c r="F16" s="174"/>
      <c r="G16" s="173" t="str">
        <f>B12</f>
        <v>Change of core capital ratio relative to bank's data as of 1 Jan 2019, pp</v>
      </c>
      <c r="H16" s="173"/>
      <c r="I16" s="173"/>
      <c r="J16" s="173"/>
      <c r="L16" s="69"/>
      <c r="M16" s="69"/>
      <c r="N16" s="85"/>
      <c r="O16" s="85"/>
    </row>
    <row r="33" spans="2:2" x14ac:dyDescent="0.25">
      <c r="B33" s="97" t="str">
        <f>IF($K$1="ENG","Hurdle rate of core capital ratio under baseline scenario","Граничне значення Н3 за базового сценарію")</f>
        <v>Hurdle rate of core capital ratio under baseline scenario</v>
      </c>
    </row>
    <row r="34" spans="2:2" x14ac:dyDescent="0.25">
      <c r="B34" s="97" t="str">
        <f>IF($K$1="ENG","Hurdle rate of core capital ratio under adverse scenario","Граничне значення Н3 за несприятливого сценарію")</f>
        <v>Hurdle rate of core capital ratio under adverse scenario</v>
      </c>
    </row>
    <row r="35" spans="2:2" x14ac:dyDescent="0.25">
      <c r="B35" s="101" t="s">
        <v>122</v>
      </c>
    </row>
    <row r="36" spans="2:2" x14ac:dyDescent="0.25">
      <c r="B36" s="101" t="s">
        <v>121</v>
      </c>
    </row>
  </sheetData>
  <mergeCells count="11">
    <mergeCell ref="K4:K6"/>
    <mergeCell ref="G16:J16"/>
    <mergeCell ref="C16:F16"/>
    <mergeCell ref="C4:C6"/>
    <mergeCell ref="B4:B6"/>
    <mergeCell ref="E6:G6"/>
    <mergeCell ref="H6:J6"/>
    <mergeCell ref="E4:G4"/>
    <mergeCell ref="H4:J4"/>
    <mergeCell ref="D4:D6"/>
    <mergeCell ref="B15:K15"/>
  </mergeCells>
  <conditionalFormatting sqref="K9">
    <cfRule type="cellIs" dxfId="4" priority="2" operator="equal">
      <formula>0.1</formula>
    </cfRule>
  </conditionalFormatting>
  <conditionalFormatting sqref="K10">
    <cfRule type="cellIs" dxfId="3" priority="1" operator="equal">
      <formula>0.07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Drop Down 10">
              <controlPr defaultSize="0" autoLine="0" autoPict="0">
                <anchor moveWithCells="1">
                  <from>
                    <xdr:col>1</xdr:col>
                    <xdr:colOff>2499360</xdr:colOff>
                    <xdr:row>0</xdr:row>
                    <xdr:rowOff>91440</xdr:rowOff>
                  </from>
                  <to>
                    <xdr:col>4</xdr:col>
                    <xdr:colOff>739140</xdr:colOff>
                    <xdr:row>1</xdr:row>
                    <xdr:rowOff>137160</xdr:rowOff>
                  </to>
                </anchor>
              </controlPr>
            </control>
          </mc:Choice>
        </mc:AlternateContent>
        <mc:AlternateContent xmlns:mc="http://schemas.openxmlformats.org/markup-compatibility/2006">
          <mc:Choice Requires="x14">
            <control shapeId="1039" r:id="rId5" name="Drop Down 15">
              <controlPr defaultSize="0" autoLine="0" autoPict="0">
                <anchor moveWithCells="1">
                  <from>
                    <xdr:col>9</xdr:col>
                    <xdr:colOff>701040</xdr:colOff>
                    <xdr:row>0</xdr:row>
                    <xdr:rowOff>15240</xdr:rowOff>
                  </from>
                  <to>
                    <xdr:col>11</xdr:col>
                    <xdr:colOff>30480</xdr:colOff>
                    <xdr:row>1</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39"/>
  <sheetViews>
    <sheetView zoomScale="90" zoomScaleNormal="90" workbookViewId="0">
      <selection activeCell="H2" sqref="H2"/>
    </sheetView>
  </sheetViews>
  <sheetFormatPr defaultColWidth="8.88671875" defaultRowHeight="13.2" x14ac:dyDescent="0.25"/>
  <cols>
    <col min="1" max="1" width="4" style="29" customWidth="1"/>
    <col min="2" max="2" width="24.44140625" style="29" customWidth="1"/>
    <col min="3" max="3" width="12" style="29" customWidth="1"/>
    <col min="4" max="4" width="12.88671875" style="29" customWidth="1"/>
    <col min="5" max="5" width="11.88671875" style="29" customWidth="1"/>
    <col min="6" max="6" width="12.6640625" style="29" customWidth="1"/>
    <col min="7" max="7" width="13.21875" style="29" customWidth="1"/>
    <col min="8" max="8" width="11.88671875" style="29" customWidth="1"/>
    <col min="9" max="10" width="10.33203125" style="29" customWidth="1"/>
    <col min="11" max="11" width="12.109375" style="29" customWidth="1"/>
    <col min="12" max="12" width="11.88671875" style="29" customWidth="1"/>
    <col min="13" max="14" width="10.33203125" style="29" customWidth="1"/>
    <col min="15" max="18" width="11.6640625" style="29" customWidth="1"/>
    <col min="19" max="19" width="8.88671875" style="29" customWidth="1"/>
    <col min="20" max="16384" width="8.88671875" style="29"/>
  </cols>
  <sheetData>
    <row r="1" spans="2:18" x14ac:dyDescent="0.25">
      <c r="K1" s="93" t="str">
        <f>'Individual banks'!K1</f>
        <v>ENG</v>
      </c>
      <c r="L1" s="99" t="str">
        <f>IF($K$1="ENG","Змінити мову тут","Change language here")</f>
        <v>Змінити мову тут</v>
      </c>
    </row>
    <row r="2" spans="2:18" x14ac:dyDescent="0.25">
      <c r="B2" s="78" t="str">
        <f>IF($K$1="ENG","Stress test results (comparison with 2018 year)","Результати стрес-тестування банку (порівняння з 2018 роком)")</f>
        <v>Stress test results (comparison with 2018 year)</v>
      </c>
      <c r="H2" s="29">
        <v>30</v>
      </c>
      <c r="I2" s="29" t="str">
        <f>IFERROR(INDEX('Data table'!$C$10:$C$38,H2,1),"")</f>
        <v/>
      </c>
    </row>
    <row r="3" spans="2:18" x14ac:dyDescent="0.25">
      <c r="B3" s="39"/>
      <c r="C3" s="34"/>
      <c r="D3" s="34"/>
      <c r="E3" s="34"/>
      <c r="F3" s="34"/>
      <c r="G3" s="34"/>
      <c r="I3" s="34"/>
      <c r="J3" s="40" t="s">
        <v>102</v>
      </c>
      <c r="K3" s="35"/>
      <c r="L3" s="35"/>
      <c r="M3" s="35"/>
      <c r="N3" s="35"/>
      <c r="O3" s="35"/>
      <c r="P3" s="35"/>
      <c r="Q3" s="35"/>
      <c r="R3" s="35"/>
    </row>
    <row r="4" spans="2:18" ht="18" customHeight="1" x14ac:dyDescent="0.25">
      <c r="B4" s="175" t="str">
        <f>IF($K$1="ENG","Indicator","Показник")</f>
        <v>Indicator</v>
      </c>
      <c r="C4" s="177" t="str">
        <f>IFERROR(I2,"")</f>
        <v/>
      </c>
      <c r="D4" s="177"/>
      <c r="E4" s="177"/>
      <c r="F4" s="177"/>
      <c r="G4" s="177"/>
      <c r="H4" s="177"/>
      <c r="I4" s="177"/>
      <c r="J4" s="119"/>
      <c r="K4" s="35"/>
      <c r="L4" s="35"/>
      <c r="M4" s="35"/>
      <c r="N4" s="35"/>
      <c r="O4" s="35"/>
      <c r="P4" s="35"/>
      <c r="Q4" s="35"/>
      <c r="R4" s="35"/>
    </row>
    <row r="5" spans="2:18" ht="15.6" customHeight="1" x14ac:dyDescent="0.25">
      <c r="B5" s="175"/>
      <c r="C5" s="175" t="str">
        <f>IF($K$1="ENG","2019 year stress test","стрес-тестування 2019 року")</f>
        <v>2019 year stress test</v>
      </c>
      <c r="D5" s="175"/>
      <c r="E5" s="175"/>
      <c r="F5" s="175"/>
      <c r="G5" s="175" t="str">
        <f>IF($K$1="ENG","2018 year stress test","стрес-тестування 2018 року")</f>
        <v>2018 year stress test</v>
      </c>
      <c r="H5" s="175"/>
      <c r="I5" s="175"/>
      <c r="J5" s="175"/>
      <c r="K5" s="59"/>
      <c r="L5" s="59"/>
      <c r="M5" s="35"/>
      <c r="N5" s="35"/>
      <c r="O5" s="59"/>
      <c r="P5" s="59"/>
      <c r="Q5" s="35"/>
      <c r="R5" s="35"/>
    </row>
    <row r="6" spans="2:18" ht="36.6" customHeight="1" x14ac:dyDescent="0.25">
      <c r="B6" s="182"/>
      <c r="C6" s="117" t="str">
        <f>'Data table'!E6</f>
        <v>Core capital, UAH mln</v>
      </c>
      <c r="D6" s="117" t="str">
        <f>'Data table'!F6</f>
        <v>Regulatory capital, UAH mln</v>
      </c>
      <c r="E6" s="117" t="str">
        <f>'Data table'!G6</f>
        <v>CAR</v>
      </c>
      <c r="F6" s="117" t="str">
        <f>'Data table'!H6</f>
        <v>Core capital ratio</v>
      </c>
      <c r="G6" s="117" t="str">
        <f>C6</f>
        <v>Core capital, UAH mln</v>
      </c>
      <c r="H6" s="117" t="str">
        <f t="shared" ref="H6:J6" si="0">D6</f>
        <v>Regulatory capital, UAH mln</v>
      </c>
      <c r="I6" s="117" t="str">
        <f t="shared" si="0"/>
        <v>CAR</v>
      </c>
      <c r="J6" s="117" t="str">
        <f t="shared" si="0"/>
        <v>Core capital ratio</v>
      </c>
      <c r="K6" s="59"/>
      <c r="L6" s="59"/>
      <c r="M6" s="35"/>
      <c r="N6" s="35"/>
      <c r="O6" s="59"/>
      <c r="P6" s="59"/>
      <c r="Q6" s="35"/>
      <c r="R6" s="35"/>
    </row>
    <row r="7" spans="2:18" x14ac:dyDescent="0.25">
      <c r="B7" s="53" t="str">
        <f>'Individual banks'!C4</f>
        <v>Bank's data as of 1 Jan 2019</v>
      </c>
      <c r="C7" s="58" t="str">
        <f>IFERROR(INDEX('Data table'!$E$10:$BC$38,MATCH('Comparison with 2018'!$C$4,'Data table'!$C$10:$C$38,0),MATCH('Comparison with 2018'!C$6,'Data table'!$E$6:$I$6,0)),"")</f>
        <v/>
      </c>
      <c r="D7" s="58" t="str">
        <f>IFERROR(INDEX('Data table'!$E$10:$BC$38,MATCH('Comparison with 2018'!$C$4,'Data table'!$C$10:$C$38,0),MATCH('Comparison with 2018'!D$6,'Data table'!$E$6:$I$6,0)),"")</f>
        <v/>
      </c>
      <c r="E7" s="48" t="str">
        <f>IFERROR(INDEX('Data table'!$E$10:$BC$38,MATCH('Comparison with 2018'!$C$4,'Data table'!$C$10:$C$38,0),MATCH('Comparison with 2018'!E$6,'Data table'!$E$6:$I$6,0)),"")</f>
        <v/>
      </c>
      <c r="F7" s="48" t="str">
        <f>IFERROR(INDEX('Data table'!$E$10:$BC$38,MATCH('Comparison with 2018'!$C$4,'Data table'!$C$10:$C$38,0),MATCH('Comparison with 2018'!F$6,'Data table'!$E$6:$I$6,0)),"")</f>
        <v/>
      </c>
      <c r="G7" s="58" t="str">
        <f>IFERROR(INDEX('Data table 2018'!$E$10:$BC$33,MATCH('Comparison with 2018'!$C$4,'Data table 2018'!$C$10:$C$33,0),MATCH('Comparison with 2018'!G$6,'Data table 2018'!$E$6:$I$6,0)),"")</f>
        <v/>
      </c>
      <c r="H7" s="58" t="str">
        <f>IFERROR(INDEX('Data table 2018'!$E$10:$BC$33,MATCH('Comparison with 2018'!$C$4,'Data table 2018'!$C$10:$C$33,0),MATCH('Comparison with 2018'!H$6,'Data table'!$E$6:$I$6,0)),"")</f>
        <v/>
      </c>
      <c r="I7" s="48" t="str">
        <f>IFERROR(INDEX('Data table 2018'!$E$10:$BC$33,MATCH('Comparison with 2018'!$C$4,'Data table 2018'!$C$10:$C$33,0),MATCH('Comparison with 2018'!I$6,'Data table'!$E$6:$I$6,0)),"")</f>
        <v/>
      </c>
      <c r="J7" s="41" t="str">
        <f>IFERROR(INDEX('Data table 2018'!$E$10:$BC$33,MATCH('Comparison with 2018'!$C$4,'Data table 2018'!$C$10:$C$33,0),MATCH('Comparison with 2018'!J$6,'Data table 2018'!$E$6:$I$6,0)),"")</f>
        <v/>
      </c>
      <c r="K7" s="59"/>
      <c r="L7" s="59"/>
      <c r="M7" s="35"/>
      <c r="N7" s="35"/>
      <c r="O7" s="59"/>
      <c r="P7" s="59"/>
      <c r="Q7" s="35"/>
      <c r="R7" s="35"/>
    </row>
    <row r="8" spans="2:18" x14ac:dyDescent="0.25">
      <c r="B8" s="50" t="str">
        <f>'Individual banks'!D4</f>
        <v>AQR as of 1 Jan 2019</v>
      </c>
      <c r="C8" s="44" t="str">
        <f ca="1">IFERROR(OFFSET(INDEX('Data table'!$E$10:$BC$38,MATCH('Comparison with 2018'!$C$4,'Data table'!$C$10:$C$38,0),MATCH('Comparison with 2018'!C$6,'Data table'!$J$6:$O$6,0)),0,5),"")</f>
        <v/>
      </c>
      <c r="D8" s="44" t="str">
        <f ca="1">IFERROR(OFFSET(INDEX('Data table'!$E$10:$BC$38,MATCH('Comparison with 2018'!$C$4,'Data table'!$C$10:$C$38,0),MATCH('Comparison with 2018'!D$6,'Data table'!$J$6:$O$6,0)),0,5),"")</f>
        <v/>
      </c>
      <c r="E8" s="41" t="str">
        <f ca="1">IFERROR(OFFSET(INDEX('Data table'!$E$10:$BC$38,MATCH('Comparison with 2018'!$C$4,'Data table'!$C$10:$C$38,0),MATCH('Comparison with 2018'!E$6,'Data table'!$J$6:$O$6,0)),0,5),"")</f>
        <v/>
      </c>
      <c r="F8" s="41" t="str">
        <f ca="1">IFERROR(OFFSET(INDEX('Data table'!$E$10:$BC$38,MATCH('Comparison with 2018'!$C$4,'Data table'!$C$10:$C$38,0),MATCH('Comparison with 2018'!F$6,'Data table'!$J$6:$O$6,0)),0,5),"")</f>
        <v/>
      </c>
      <c r="G8" s="44" t="str">
        <f ca="1">IFERROR(OFFSET(INDEX('Data table 2018'!$E$10:$BC$33,MATCH('Comparison with 2018'!$C$4,'Data table 2018'!$C$10:$C$33,0),MATCH('Comparison with 2018'!G$6,'Data table 2018'!$J$6:$O$6,0)),0,5),"")</f>
        <v/>
      </c>
      <c r="H8" s="44" t="str">
        <f ca="1">IFERROR(OFFSET(INDEX('Data table 2018'!$E$10:$BC$33,MATCH('Comparison with 2018'!$C$4,'Data table 2018'!$C$10:$C$33,0),MATCH('Comparison with 2018'!H$6,'Data table'!$J$6:$O$6,0)),0,5),"")</f>
        <v/>
      </c>
      <c r="I8" s="41" t="str">
        <f ca="1">IFERROR(OFFSET(INDEX('Data table 2018'!$E$10:$BC$33,MATCH('Comparison with 2018'!$C$4,'Data table 2018'!$C$10:$C$33,0),MATCH('Comparison with 2018'!I$6,'Data table 2018'!$J$6:$O$6,0)),0,5),"")</f>
        <v/>
      </c>
      <c r="J8" s="41" t="str">
        <f ca="1">IFERROR(OFFSET(INDEX('Data table 2018'!$E$10:$BC$33,MATCH('Comparison with 2018'!$C$4,'Data table 2018'!$C$10:$C$33,0),MATCH('Comparison with 2018'!J$6,'Data table 2018'!$J$6:$O$6,0)),0,5),"")</f>
        <v/>
      </c>
      <c r="K8" s="59"/>
      <c r="L8" s="59"/>
      <c r="M8" s="35"/>
      <c r="N8" s="35"/>
      <c r="O8" s="59"/>
      <c r="P8" s="59"/>
      <c r="Q8" s="35"/>
      <c r="R8" s="35"/>
    </row>
    <row r="9" spans="2:18" ht="13.2" customHeight="1" x14ac:dyDescent="0.25">
      <c r="B9" s="80" t="str">
        <f>'Comparison with group'!B9</f>
        <v>Forecast year</v>
      </c>
      <c r="C9" s="179" t="str">
        <f>'Comparison with group'!C9:O9</f>
        <v>Baseline scenario</v>
      </c>
      <c r="D9" s="180"/>
      <c r="E9" s="180"/>
      <c r="F9" s="180"/>
      <c r="G9" s="180"/>
      <c r="H9" s="180"/>
      <c r="I9" s="180"/>
      <c r="J9" s="181"/>
      <c r="K9" s="59"/>
      <c r="L9" s="59"/>
      <c r="M9" s="35"/>
      <c r="N9" s="35"/>
      <c r="O9" s="59"/>
      <c r="P9" s="59"/>
      <c r="Q9" s="35"/>
      <c r="R9" s="35"/>
    </row>
    <row r="10" spans="2:18" x14ac:dyDescent="0.25">
      <c r="B10" s="72" t="str">
        <f>'Data table'!P7</f>
        <v>1st</v>
      </c>
      <c r="C10" s="44" t="str">
        <f ca="1">IFERROR(OFFSET(INDEX('Data table'!$E$10:$BC$38,MATCH('Comparison with 2018'!$C$4,'Data table'!$C$10:$C$38,0),MATCH($B10,'Data table'!$P$7:$R$7,0)),0,11),"")</f>
        <v/>
      </c>
      <c r="D10" s="44" t="str">
        <f ca="1">IFERROR(OFFSET(INDEX('Data table'!$E$10:$BC$38,MATCH('Comparison with 2018'!$C$4,'Data table'!$C$10:$C$38,0),MATCH($B10,'Data table'!$P$7:$R$7,0)),0,14),"")</f>
        <v/>
      </c>
      <c r="E10" s="41" t="str">
        <f ca="1">IFERROR(OFFSET(INDEX('Data table'!$E$10:$BC$38,MATCH('Comparison with 2018'!$C$4,'Data table'!$C$10:$C$38,0),MATCH($B10,'Data table'!$P$7:$R$7,0)),0,17),"")</f>
        <v/>
      </c>
      <c r="F10" s="41" t="str">
        <f ca="1">IFERROR(OFFSET(INDEX('Data table'!$E$10:$BC$38,MATCH('Comparison with 2018'!$C$4,'Data table'!$C$10:$C$38,0),MATCH($B10,'Data table'!$P$7:$R$7,0)),0,20),"")</f>
        <v/>
      </c>
      <c r="G10" s="44" t="str">
        <f ca="1">IFERROR(OFFSET(INDEX('Data table 2018'!$E$10:$BC$33,MATCH('Comparison with 2018'!$C$4,'Data table 2018'!$C$10:$C$33,0),MATCH($B10,'Data table 2018'!$P$7:$R$7,0)),0,11),"")</f>
        <v/>
      </c>
      <c r="H10" s="44" t="str">
        <f ca="1">IFERROR(OFFSET(INDEX('Data table 2018'!$E$10:$BC$33,MATCH('Comparison with 2018'!$C$4,'Data table 2018'!$C$10:$C$33,0),MATCH($B10,'Data table 2018'!$P$7:$R$7,0)),0,14),"")</f>
        <v/>
      </c>
      <c r="I10" s="41" t="str">
        <f ca="1">IFERROR(OFFSET(INDEX('Data table 2018'!$E$10:$BC$33,MATCH('Comparison with 2018'!$C$4,'Data table 2018'!$C$10:$C$33,0),MATCH($B10,'Data table 2018'!$P$7:$R$7,0)),0,17),"")</f>
        <v/>
      </c>
      <c r="J10" s="41" t="str">
        <f ca="1">IFERROR(OFFSET(INDEX('Data table 2018'!$E$10:$BC$33,MATCH('Comparison with 2018'!$C$4,'Data table 2018'!$C$10:$C$33,0),MATCH($B10,'Data table 2018'!$P$7:$R$7,0)),0,20),"")</f>
        <v/>
      </c>
      <c r="K10" s="59"/>
      <c r="L10" s="59"/>
      <c r="M10" s="35"/>
      <c r="N10" s="35"/>
      <c r="O10" s="59"/>
      <c r="P10" s="59"/>
      <c r="Q10" s="35"/>
      <c r="R10" s="35"/>
    </row>
    <row r="11" spans="2:18" x14ac:dyDescent="0.25">
      <c r="B11" s="72" t="str">
        <f>'Data table'!Q7</f>
        <v>2nd</v>
      </c>
      <c r="C11" s="44" t="str">
        <f ca="1">IFERROR(OFFSET(INDEX('Data table'!$E$10:$BC$38,MATCH('Comparison with 2018'!$C$4,'Data table'!$C$10:$C$38,0),MATCH($B11,'Data table'!$P$7:$R$7,0)),0,11),"")</f>
        <v/>
      </c>
      <c r="D11" s="44" t="str">
        <f ca="1">IFERROR(OFFSET(INDEX('Data table'!$E$10:$BC$38,MATCH('Comparison with 2018'!$C$4,'Data table'!$C$10:$C$38,0),MATCH($B11,'Data table'!$P$7:$R$7,0)),0,14),"")</f>
        <v/>
      </c>
      <c r="E11" s="41" t="str">
        <f ca="1">IFERROR(OFFSET(INDEX('Data table'!$E$10:$BC$38,MATCH('Comparison with 2018'!$C$4,'Data table'!$C$10:$C$38,0),MATCH($B11,'Data table'!$P$7:$R$7,0)),0,17),"")</f>
        <v/>
      </c>
      <c r="F11" s="41" t="str">
        <f ca="1">IFERROR(OFFSET(INDEX('Data table'!$E$10:$BC$38,MATCH('Comparison with 2018'!$C$4,'Data table'!$C$10:$C$38,0),MATCH($B11,'Data table'!$P$7:$R$7,0)),0,20),"")</f>
        <v/>
      </c>
      <c r="G11" s="44" t="str">
        <f ca="1">IFERROR(OFFSET(INDEX('Data table 2018'!$E$10:$BC$33,MATCH('Comparison with 2018'!$C$4,'Data table 2018'!$C$10:$C$33,0),MATCH($B11,'Data table 2018'!$P$7:$R$7,0)),0,11),"")</f>
        <v/>
      </c>
      <c r="H11" s="44" t="str">
        <f ca="1">IFERROR(OFFSET(INDEX('Data table 2018'!$E$10:$BC$33,MATCH('Comparison with 2018'!$C$4,'Data table 2018'!$C$10:$C$33,0),MATCH($B11,'Data table 2018'!$P$7:$R$7,0)),0,14),"")</f>
        <v/>
      </c>
      <c r="I11" s="41" t="str">
        <f ca="1">IFERROR(OFFSET(INDEX('Data table 2018'!$E$10:$BC$33,MATCH('Comparison with 2018'!$C$4,'Data table 2018'!$C$10:$C$33,0),MATCH($B11,'Data table 2018'!$P$7:$R$7,0)),0,17),"")</f>
        <v/>
      </c>
      <c r="J11" s="41" t="str">
        <f ca="1">IFERROR(OFFSET(INDEX('Data table 2018'!$E$10:$BC$33,MATCH('Comparison with 2018'!$C$4,'Data table 2018'!$C$10:$C$33,0),MATCH($B11,'Data table 2018'!$P$7:$R$7,0)),0,20),"")</f>
        <v/>
      </c>
      <c r="K11" s="59"/>
      <c r="L11" s="59"/>
      <c r="M11" s="35"/>
      <c r="N11" s="35"/>
      <c r="O11" s="59"/>
      <c r="P11" s="59"/>
      <c r="Q11" s="35"/>
      <c r="R11" s="35"/>
    </row>
    <row r="12" spans="2:18" x14ac:dyDescent="0.25">
      <c r="B12" s="72" t="str">
        <f>'Data table'!R7</f>
        <v>3rd</v>
      </c>
      <c r="C12" s="44" t="str">
        <f ca="1">IFERROR(OFFSET(INDEX('Data table'!$E$10:$BC$38,MATCH('Comparison with 2018'!$C$4,'Data table'!$C$10:$C$38,0),MATCH($B12,'Data table'!$P$7:$R$7,0)),0,11),"")</f>
        <v/>
      </c>
      <c r="D12" s="44" t="str">
        <f ca="1">IFERROR(OFFSET(INDEX('Data table'!$E$10:$BC$38,MATCH('Comparison with 2018'!$C$4,'Data table'!$C$10:$C$38,0),MATCH($B12,'Data table'!$P$7:$R$7,0)),0,14),"")</f>
        <v/>
      </c>
      <c r="E12" s="41" t="str">
        <f ca="1">IFERROR(OFFSET(INDEX('Data table'!$E$10:$BC$38,MATCH('Comparison with 2018'!$C$4,'Data table'!$C$10:$C$38,0),MATCH($B12,'Data table'!$P$7:$R$7,0)),0,17),"")</f>
        <v/>
      </c>
      <c r="F12" s="41" t="str">
        <f ca="1">IFERROR(OFFSET(INDEX('Data table'!$E$10:$BC$38,MATCH('Comparison with 2018'!$C$4,'Data table'!$C$10:$C$38,0),MATCH($B12,'Data table'!$P$7:$R$7,0)),0,20),"")</f>
        <v/>
      </c>
      <c r="G12" s="44" t="str">
        <f ca="1">IFERROR(OFFSET(INDEX('Data table 2018'!$E$10:$BC$33,MATCH('Comparison with 2018'!$C$4,'Data table 2018'!$C$10:$C$33,0),MATCH($B12,'Data table 2018'!$P$7:$R$7,0)),0,11),"")</f>
        <v/>
      </c>
      <c r="H12" s="44" t="str">
        <f ca="1">IFERROR(OFFSET(INDEX('Data table 2018'!$E$10:$BC$33,MATCH('Comparison with 2018'!$C$4,'Data table 2018'!$C$10:$C$33,0),MATCH($B12,'Data table 2018'!$P$7:$R$7,0)),0,14),"")</f>
        <v/>
      </c>
      <c r="I12" s="41" t="str">
        <f ca="1">IFERROR(OFFSET(INDEX('Data table 2018'!$E$10:$BC$33,MATCH('Comparison with 2018'!$C$4,'Data table 2018'!$C$10:$C$33,0),MATCH($B12,'Data table 2018'!$P$7:$R$7,0)),0,17),"")</f>
        <v/>
      </c>
      <c r="J12" s="41" t="str">
        <f ca="1">IFERROR(OFFSET(INDEX('Data table 2018'!$E$10:$BC$33,MATCH('Comparison with 2018'!$C$4,'Data table 2018'!$C$10:$C$33,0),MATCH($B12,'Data table 2018'!$P$7:$R$7,0)),0,20),"")</f>
        <v/>
      </c>
      <c r="K12" s="59"/>
      <c r="L12" s="59"/>
      <c r="M12" s="35"/>
      <c r="N12" s="35"/>
      <c r="O12" s="59"/>
      <c r="P12" s="59"/>
      <c r="Q12" s="35"/>
      <c r="R12" s="35"/>
    </row>
    <row r="13" spans="2:18" ht="13.2" customHeight="1" x14ac:dyDescent="0.25">
      <c r="B13" s="80" t="str">
        <f>B9</f>
        <v>Forecast year</v>
      </c>
      <c r="C13" s="179" t="str">
        <f>'Comparison with group'!C13:O13</f>
        <v>Adverse scenario</v>
      </c>
      <c r="D13" s="180"/>
      <c r="E13" s="180"/>
      <c r="F13" s="180"/>
      <c r="G13" s="180"/>
      <c r="H13" s="180"/>
      <c r="I13" s="180"/>
      <c r="J13" s="181"/>
      <c r="K13" s="59"/>
      <c r="L13" s="59"/>
      <c r="M13" s="35"/>
      <c r="N13" s="35"/>
      <c r="O13" s="59"/>
      <c r="P13" s="59"/>
      <c r="Q13" s="35"/>
      <c r="R13" s="35"/>
    </row>
    <row r="14" spans="2:18" ht="14.4" customHeight="1" x14ac:dyDescent="0.25">
      <c r="B14" s="72" t="str">
        <f>B10</f>
        <v>1st</v>
      </c>
      <c r="C14" s="55" t="str">
        <f ca="1">IFERROR(OFFSET(INDEX('Data table'!$E$10:$BC$38,MATCH('Comparison with 2018'!$C$4,'Data table'!$C$10:$C$38,0),MATCH($B14,'Data table'!$P$7:$R$7,0)),0,26),"")</f>
        <v/>
      </c>
      <c r="D14" s="55" t="str">
        <f ca="1">IFERROR(OFFSET(INDEX('Data table'!$E$10:$BC$38,MATCH('Comparison with 2018'!$C$4,'Data table'!$C$10:$C$38,0),MATCH($B14,'Data table'!$P$7:$R$7,0)),0,29),"")</f>
        <v/>
      </c>
      <c r="E14" s="41" t="str">
        <f ca="1">IFERROR(OFFSET(INDEX('Data table'!$E$10:$BC$38,MATCH('Comparison with 2018'!$C$4,'Data table'!$C$10:$C$38,0),MATCH($B14,'Data table'!$P$7:$R$7,0)),0,32),"")</f>
        <v/>
      </c>
      <c r="F14" s="41" t="str">
        <f ca="1">IFERROR(OFFSET(INDEX('Data table'!$E$10:$BC$38,MATCH('Comparison with 2018'!$C$4,'Data table'!$C$10:$C$38,0),MATCH($B14,'Data table'!$P$7:$R$7,0)),0,35),"")</f>
        <v/>
      </c>
      <c r="G14" s="55" t="str">
        <f ca="1">IFERROR(OFFSET(INDEX('Data table 2018'!$E$10:$BC$33,MATCH('Comparison with 2018'!$C$4,'Data table 2018'!$C$10:$C$33,0),MATCH($B14,'Data table 2018'!$P$7:$R$7,0)),0,26),"")</f>
        <v/>
      </c>
      <c r="H14" s="55" t="str">
        <f ca="1">IFERROR(OFFSET(INDEX('Data table 2018'!$E$10:$BC$33,MATCH('Comparison with 2018'!$C$4,'Data table 2018'!$C$10:$C$33,0),MATCH($B14,'Data table 2018'!$P$7:$R$7,0)),0,29),"")</f>
        <v/>
      </c>
      <c r="I14" s="41" t="str">
        <f ca="1">IFERROR(OFFSET(INDEX('Data table 2018'!$E$10:$BC$33,MATCH('Comparison with 2018'!$C$4,'Data table 2018'!$C$10:$C$33,0),MATCH($B14,'Data table 2018'!$P$7:$R$7,0)),0,32),"")</f>
        <v/>
      </c>
      <c r="J14" s="41" t="str">
        <f ca="1">IFERROR(OFFSET(INDEX('Data table 2018'!$E$10:$BC$33,MATCH('Comparison with 2018'!$C$4,'Data table 2018'!$C$10:$C$33,0),MATCH($B14,'Data table 2018'!$P$7:$R$7,0)),0,35),"")</f>
        <v/>
      </c>
      <c r="K14" s="59"/>
      <c r="L14" s="59"/>
      <c r="M14" s="35"/>
      <c r="N14" s="35"/>
      <c r="O14" s="59"/>
      <c r="P14" s="59"/>
      <c r="Q14" s="35"/>
      <c r="R14" s="35"/>
    </row>
    <row r="15" spans="2:18" x14ac:dyDescent="0.25">
      <c r="B15" s="72" t="str">
        <f t="shared" ref="B15:B16" si="1">B11</f>
        <v>2nd</v>
      </c>
      <c r="C15" s="55" t="str">
        <f ca="1">IFERROR(OFFSET(INDEX('Data table'!$E$10:$BC$38,MATCH('Comparison with 2018'!$C$4,'Data table'!$C$10:$C$38,0),MATCH($B15,'Data table'!$P$7:$R$7,0)),0,26),"")</f>
        <v/>
      </c>
      <c r="D15" s="55" t="str">
        <f ca="1">IFERROR(OFFSET(INDEX('Data table'!$E$10:$BC$38,MATCH('Comparison with 2018'!$C$4,'Data table'!$C$10:$C$38,0),MATCH($B15,'Data table'!$P$7:$R$7,0)),0,29),"")</f>
        <v/>
      </c>
      <c r="E15" s="41" t="str">
        <f ca="1">IFERROR(OFFSET(INDEX('Data table'!$E$10:$BC$38,MATCH('Comparison with 2018'!$C$4,'Data table'!$C$10:$C$38,0),MATCH($B15,'Data table'!$P$7:$R$7,0)),0,32),"")</f>
        <v/>
      </c>
      <c r="F15" s="41" t="str">
        <f ca="1">IFERROR(OFFSET(INDEX('Data table'!$E$10:$BC$38,MATCH('Comparison with 2018'!$C$4,'Data table'!$C$10:$C$38,0),MATCH($B15,'Data table'!$P$7:$R$7,0)),0,35),"")</f>
        <v/>
      </c>
      <c r="G15" s="55" t="str">
        <f ca="1">IFERROR(OFFSET(INDEX('Data table 2018'!$E$10:$BC$33,MATCH('Comparison with 2018'!$C$4,'Data table 2018'!$C$10:$C$33,0),MATCH($B15,'Data table 2018'!$P$7:$R$7,0)),0,26),"")</f>
        <v/>
      </c>
      <c r="H15" s="55" t="str">
        <f ca="1">IFERROR(OFFSET(INDEX('Data table 2018'!$E$10:$BC$33,MATCH('Comparison with 2018'!$C$4,'Data table 2018'!$C$10:$C$33,0),MATCH($B15,'Data table 2018'!$P$7:$R$7,0)),0,29),"")</f>
        <v/>
      </c>
      <c r="I15" s="41" t="str">
        <f ca="1">IFERROR(OFFSET(INDEX('Data table 2018'!$E$10:$BC$33,MATCH('Comparison with 2018'!$C$4,'Data table 2018'!$C$10:$C$33,0),MATCH($B15,'Data table 2018'!$P$7:$R$7,0)),0,32),"")</f>
        <v/>
      </c>
      <c r="J15" s="41" t="str">
        <f ca="1">IFERROR(OFFSET(INDEX('Data table 2018'!$E$10:$BC$33,MATCH('Comparison with 2018'!$C$4,'Data table 2018'!$C$10:$C$33,0),MATCH($B15,'Data table 2018'!$P$7:$R$7,0)),0,35),"")</f>
        <v/>
      </c>
      <c r="K15" s="59"/>
      <c r="L15" s="59"/>
      <c r="M15" s="35"/>
      <c r="N15" s="35"/>
      <c r="O15" s="59"/>
      <c r="P15" s="59"/>
      <c r="Q15" s="35"/>
      <c r="R15" s="35"/>
    </row>
    <row r="16" spans="2:18" x14ac:dyDescent="0.25">
      <c r="B16" s="72" t="str">
        <f t="shared" si="1"/>
        <v>3rd</v>
      </c>
      <c r="C16" s="55" t="str">
        <f ca="1">IFERROR(OFFSET(INDEX('Data table'!$E$10:$BC$38,MATCH('Comparison with 2018'!$C$4,'Data table'!$C$10:$C$38,0),MATCH($B16,'Data table'!$P$7:$R$7,0)),0,26),"")</f>
        <v/>
      </c>
      <c r="D16" s="55" t="str">
        <f ca="1">IFERROR(OFFSET(INDEX('Data table'!$E$10:$BC$38,MATCH('Comparison with 2018'!$C$4,'Data table'!$C$10:$C$38,0),MATCH($B16,'Data table'!$P$7:$R$7,0)),0,29),"")</f>
        <v/>
      </c>
      <c r="E16" s="41" t="str">
        <f ca="1">IFERROR(OFFSET(INDEX('Data table'!$E$10:$BC$38,MATCH('Comparison with 2018'!$C$4,'Data table'!$C$10:$C$38,0),MATCH($B16,'Data table'!$P$7:$R$7,0)),0,32),"")</f>
        <v/>
      </c>
      <c r="F16" s="41" t="str">
        <f ca="1">IFERROR(OFFSET(INDEX('Data table'!$E$10:$BC$38,MATCH('Comparison with 2018'!$C$4,'Data table'!$C$10:$C$38,0),MATCH($B16,'Data table'!$P$7:$R$7,0)),0,35),"")</f>
        <v/>
      </c>
      <c r="G16" s="55" t="str">
        <f ca="1">IFERROR(OFFSET(INDEX('Data table 2018'!$E$10:$BC$33,MATCH('Comparison with 2018'!$C$4,'Data table 2018'!$C$10:$C$33,0),MATCH($B16,'Data table 2018'!$P$7:$R$7,0)),0,26),"")</f>
        <v/>
      </c>
      <c r="H16" s="55" t="str">
        <f ca="1">IFERROR(OFFSET(INDEX('Data table 2018'!$E$10:$BC$33,MATCH('Comparison with 2018'!$C$4,'Data table 2018'!$C$10:$C$33,0),MATCH($B16,'Data table 2018'!$P$7:$R$7,0)),0,29),"")</f>
        <v/>
      </c>
      <c r="I16" s="41" t="str">
        <f ca="1">IFERROR(OFFSET(INDEX('Data table 2018'!$E$10:$BC$33,MATCH('Comparison with 2018'!$C$4,'Data table 2018'!$C$10:$C$33,0),MATCH($B16,'Data table 2018'!$P$7:$R$7,0)),0,32),"")</f>
        <v/>
      </c>
      <c r="J16" s="41" t="str">
        <f ca="1">IFERROR(OFFSET(INDEX('Data table 2018'!$E$10:$BC$33,MATCH('Comparison with 2018'!$C$4,'Data table 2018'!$C$10:$C$33,0),MATCH($B16,'Data table 2018'!$P$7:$R$7,0)),0,35),"")</f>
        <v/>
      </c>
      <c r="K16" s="59"/>
      <c r="L16" s="59"/>
      <c r="M16" s="35"/>
      <c r="N16" s="35"/>
      <c r="O16" s="59"/>
      <c r="P16" s="59"/>
      <c r="Q16" s="35"/>
      <c r="R16" s="35"/>
    </row>
    <row r="17" spans="2:18" ht="12" customHeight="1" x14ac:dyDescent="0.25">
      <c r="B17" s="94" t="str">
        <f>'Individual banks'!$B$13</f>
        <v>AQR – data of asset quality review and collateral eligibility assessment for bank lending, including adjustments in the bank’s financial statements for the reporting year and extrapolation</v>
      </c>
      <c r="C17" s="79"/>
      <c r="D17" s="79"/>
      <c r="E17" s="35"/>
      <c r="F17" s="35"/>
      <c r="G17" s="59"/>
      <c r="H17" s="59"/>
      <c r="I17" s="35"/>
      <c r="J17" s="35"/>
      <c r="K17" s="59"/>
      <c r="L17" s="59"/>
      <c r="M17" s="35"/>
      <c r="N17" s="35"/>
      <c r="O17" s="59"/>
      <c r="P17" s="59"/>
      <c r="Q17" s="35"/>
      <c r="R17" s="35"/>
    </row>
    <row r="18" spans="2:18" ht="11.4" customHeight="1" x14ac:dyDescent="0.25">
      <c r="B18" s="94" t="str">
        <f>IF($K$1="ENG","","ОК - основний капітал, РК - регулятивний капітал, Н2 - норматив адекватності регулятивного капіталу, Н3 - норматив адекватності основного капіталу.")</f>
        <v/>
      </c>
      <c r="C18" s="79"/>
      <c r="D18" s="79"/>
      <c r="E18" s="35"/>
      <c r="J18" s="35"/>
      <c r="K18" s="59"/>
      <c r="L18" s="59"/>
      <c r="M18" s="35"/>
      <c r="N18" s="35"/>
      <c r="O18" s="59"/>
      <c r="P18" s="59"/>
      <c r="Q18" s="35"/>
      <c r="R18" s="35"/>
    </row>
    <row r="19" spans="2:18" ht="23.4" customHeight="1" x14ac:dyDescent="0.25">
      <c r="B19" s="183" t="str">
        <f>IFERROR(IF(OR(COUNTIF($C$4:$R$4,"Альфа-Банк**")&gt;0,COUNTIF($C$4:$R$4,"Укрсоцбанк**")&gt;0,COUNTIF($C$4:$R$4,"Alfa-Bank**")&gt;0,COUNTIF($C$4:$R$4,"Ukrsotsbank**")&gt;0),'Data table'!$A$44,""),"")</f>
        <v/>
      </c>
      <c r="C19" s="183"/>
      <c r="D19" s="183"/>
      <c r="E19" s="183"/>
      <c r="F19" s="183"/>
      <c r="G19" s="183"/>
      <c r="H19" s="183"/>
      <c r="I19" s="183"/>
      <c r="J19" s="183"/>
      <c r="K19" s="183"/>
      <c r="L19" s="183"/>
      <c r="M19" s="183"/>
      <c r="N19" s="183"/>
      <c r="O19" s="183"/>
      <c r="P19" s="183"/>
      <c r="Q19" s="183"/>
      <c r="R19" s="183"/>
    </row>
    <row r="20" spans="2:18" ht="13.2" customHeight="1" x14ac:dyDescent="0.25">
      <c r="B20" s="178" t="str">
        <f>IF($K$1="ENG","Core capital, UAH mln","Основний капітал, млн грн")</f>
        <v>Core capital, UAH mln</v>
      </c>
      <c r="C20" s="178"/>
      <c r="D20" s="178"/>
      <c r="E20" s="178" t="str">
        <f>IF($K$1="ENG","Core capital ratio","Норматив достатності основного капіталу Н3")</f>
        <v>Core capital ratio</v>
      </c>
      <c r="F20" s="178"/>
      <c r="G20" s="178"/>
      <c r="H20" s="178" t="str">
        <f>IF($K$1="ENG","Regulatory capital, UAH mln","Регулятивний капітал, млн грн")</f>
        <v>Regulatory capital, UAH mln</v>
      </c>
      <c r="I20" s="178"/>
      <c r="J20" s="178"/>
      <c r="K20" s="178"/>
      <c r="L20" s="178" t="str">
        <f>IF($K$1="ENG","CAR","Норматив достатності регулятивного капіталу Н2")</f>
        <v>CAR</v>
      </c>
      <c r="M20" s="178"/>
      <c r="N20" s="178"/>
      <c r="O20" s="178"/>
    </row>
    <row r="21" spans="2:18" x14ac:dyDescent="0.25">
      <c r="B21" s="178"/>
      <c r="C21" s="178"/>
      <c r="D21" s="178"/>
      <c r="E21" s="178"/>
      <c r="F21" s="178"/>
      <c r="G21" s="178"/>
      <c r="H21" s="178"/>
      <c r="I21" s="178"/>
      <c r="J21" s="178"/>
      <c r="K21" s="178"/>
      <c r="L21" s="178"/>
      <c r="M21" s="178"/>
      <c r="N21" s="178"/>
      <c r="O21" s="178"/>
    </row>
    <row r="31" spans="2:18" x14ac:dyDescent="0.25">
      <c r="B31" s="101"/>
    </row>
    <row r="32" spans="2:18" x14ac:dyDescent="0.25">
      <c r="B32" s="101"/>
    </row>
    <row r="33" spans="2:2" x14ac:dyDescent="0.25">
      <c r="B33" s="101"/>
    </row>
    <row r="34" spans="2:2" x14ac:dyDescent="0.25">
      <c r="B34" s="101" t="str">
        <f>CONCATENATE(C9," (",C5,")")</f>
        <v>Baseline scenario (2019 year stress test)</v>
      </c>
    </row>
    <row r="35" spans="2:2" x14ac:dyDescent="0.25">
      <c r="B35" s="101" t="str">
        <f>CONCATENATE(C13," (",C5,")")</f>
        <v>Adverse scenario (2019 year stress test)</v>
      </c>
    </row>
    <row r="36" spans="2:2" x14ac:dyDescent="0.25">
      <c r="B36" s="101" t="str">
        <f>CONCATENATE(C9," (",G5,")")</f>
        <v>Baseline scenario (2018 year stress test)</v>
      </c>
    </row>
    <row r="37" spans="2:2" x14ac:dyDescent="0.25">
      <c r="B37" s="101" t="str">
        <f>CONCATENATE(C13," (",G5,")")</f>
        <v>Adverse scenario (2018 year stress test)</v>
      </c>
    </row>
    <row r="38" spans="2:2" x14ac:dyDescent="0.25">
      <c r="B38" s="101"/>
    </row>
    <row r="39" spans="2:2" x14ac:dyDescent="0.25">
      <c r="B39" s="101"/>
    </row>
  </sheetData>
  <mergeCells count="11">
    <mergeCell ref="G5:J5"/>
    <mergeCell ref="C4:I4"/>
    <mergeCell ref="B20:D21"/>
    <mergeCell ref="E20:G21"/>
    <mergeCell ref="C9:J9"/>
    <mergeCell ref="C13:J13"/>
    <mergeCell ref="B4:B6"/>
    <mergeCell ref="B19:R19"/>
    <mergeCell ref="H20:K21"/>
    <mergeCell ref="L20:O21"/>
    <mergeCell ref="C5:F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Drop Down 1">
              <controlPr defaultSize="0" autoLine="0" autoPict="0">
                <anchor moveWithCells="1">
                  <from>
                    <xdr:col>6</xdr:col>
                    <xdr:colOff>7620</xdr:colOff>
                    <xdr:row>0</xdr:row>
                    <xdr:rowOff>152400</xdr:rowOff>
                  </from>
                  <to>
                    <xdr:col>9</xdr:col>
                    <xdr:colOff>114300</xdr:colOff>
                    <xdr:row>2</xdr:row>
                    <xdr:rowOff>30480</xdr:rowOff>
                  </to>
                </anchor>
              </controlPr>
            </control>
          </mc:Choice>
        </mc:AlternateContent>
        <mc:AlternateContent xmlns:mc="http://schemas.openxmlformats.org/markup-compatibility/2006">
          <mc:Choice Requires="x14">
            <control shapeId="19461" r:id="rId5" name="Drop Down 5">
              <controlPr defaultSize="0" autoLine="0" autoPict="0">
                <anchor moveWithCells="1">
                  <from>
                    <xdr:col>9</xdr:col>
                    <xdr:colOff>487680</xdr:colOff>
                    <xdr:row>0</xdr:row>
                    <xdr:rowOff>7620</xdr:rowOff>
                  </from>
                  <to>
                    <xdr:col>11</xdr:col>
                    <xdr:colOff>45720</xdr:colOff>
                    <xdr:row>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9"/>
  <sheetViews>
    <sheetView zoomScale="90" zoomScaleNormal="90" workbookViewId="0">
      <selection activeCell="J1" sqref="J1"/>
    </sheetView>
  </sheetViews>
  <sheetFormatPr defaultColWidth="8.88671875" defaultRowHeight="13.2" x14ac:dyDescent="0.25"/>
  <cols>
    <col min="1" max="1" width="4" style="29" customWidth="1"/>
    <col min="2" max="2" width="24.109375" style="29" customWidth="1"/>
    <col min="3" max="3" width="12" style="29" customWidth="1"/>
    <col min="4" max="4" width="12.88671875" style="29" customWidth="1"/>
    <col min="5" max="5" width="11" style="29" customWidth="1"/>
    <col min="6" max="6" width="12.33203125" style="29" customWidth="1"/>
    <col min="7" max="7" width="12" style="29" customWidth="1"/>
    <col min="8" max="8" width="13.44140625" style="29" customWidth="1"/>
    <col min="9" max="9" width="10.33203125" style="29" customWidth="1"/>
    <col min="10" max="10" width="11.6640625" style="29" customWidth="1"/>
    <col min="11" max="11" width="12.109375" style="29" customWidth="1"/>
    <col min="12" max="12" width="11.88671875" style="29" customWidth="1"/>
    <col min="13" max="13" width="10.33203125" style="29" customWidth="1"/>
    <col min="14" max="14" width="11.6640625" style="29" customWidth="1"/>
    <col min="15" max="15" width="12.44140625" style="29" customWidth="1"/>
    <col min="16" max="16384" width="8.88671875" style="29"/>
  </cols>
  <sheetData>
    <row r="1" spans="2:16" x14ac:dyDescent="0.25">
      <c r="O1" s="93" t="str">
        <f>'Individual banks'!K1</f>
        <v>ENG</v>
      </c>
      <c r="P1" s="99" t="str">
        <f>IF($O$1="ENG","Змінити мову тут","Change language here")</f>
        <v>Змінити мову тут</v>
      </c>
    </row>
    <row r="2" spans="2:16" x14ac:dyDescent="0.25">
      <c r="B2" s="78" t="str">
        <f>IF($O$1="ENG","Stress test results (comparison across groups of banks)","Результати стрес-тестування банку (порівняння із відповідною групою банків)")</f>
        <v>Stress test results (comparison across groups of banks)</v>
      </c>
      <c r="H2" s="76">
        <v>30</v>
      </c>
      <c r="I2" s="77" t="e">
        <f>INDEX('Data table'!$C$10:$C$38,H2,1)</f>
        <v>#REF!</v>
      </c>
      <c r="J2" s="33"/>
      <c r="K2" s="33"/>
    </row>
    <row r="3" spans="2:16" x14ac:dyDescent="0.25">
      <c r="C3" s="38"/>
      <c r="D3" s="33"/>
      <c r="E3" s="33"/>
      <c r="F3" s="33"/>
      <c r="G3" s="33"/>
      <c r="H3" s="33"/>
      <c r="I3" s="33"/>
      <c r="J3" s="33"/>
      <c r="K3" s="33"/>
      <c r="L3" s="33"/>
      <c r="M3" s="33"/>
      <c r="N3" s="33"/>
    </row>
    <row r="4" spans="2:16" x14ac:dyDescent="0.25">
      <c r="B4" s="39"/>
      <c r="C4" s="39"/>
      <c r="D4" s="39"/>
      <c r="E4" s="39"/>
      <c r="F4" s="39"/>
      <c r="G4" s="39"/>
      <c r="H4" s="39"/>
      <c r="I4" s="39"/>
      <c r="J4" s="39"/>
      <c r="K4" s="39"/>
      <c r="L4" s="39"/>
      <c r="M4" s="39"/>
      <c r="N4" s="39"/>
      <c r="O4" s="40" t="s">
        <v>102</v>
      </c>
    </row>
    <row r="5" spans="2:16" ht="20.399999999999999" customHeight="1" x14ac:dyDescent="0.25">
      <c r="B5" s="175" t="str">
        <f>IF($O$1="ENG","Indicator","Показник")</f>
        <v>Indicator</v>
      </c>
      <c r="C5" s="175" t="str">
        <f>IFERROR(I2,"")</f>
        <v/>
      </c>
      <c r="D5" s="175"/>
      <c r="E5" s="175"/>
      <c r="F5" s="175"/>
      <c r="G5" s="175" t="str">
        <f>IF($O$1="ENG","All banks under stress test","Усі банки, що проходили стрес-тестування")</f>
        <v>All banks under stress test</v>
      </c>
      <c r="H5" s="175"/>
      <c r="I5" s="175"/>
      <c r="J5" s="175"/>
      <c r="K5" s="175" t="str">
        <f>IFERROR(VLOOKUP(I2,'Data table'!$C$10:$D$38,2,0),"")</f>
        <v/>
      </c>
      <c r="L5" s="175"/>
      <c r="M5" s="175"/>
      <c r="N5" s="175"/>
      <c r="O5" s="171" t="str">
        <f>'Individual banks'!B11</f>
        <v>Hurdle rate of core capital ratio</v>
      </c>
    </row>
    <row r="6" spans="2:16" ht="39" customHeight="1" x14ac:dyDescent="0.25">
      <c r="B6" s="182"/>
      <c r="C6" s="117" t="str">
        <f>'Data table'!E6</f>
        <v>Core capital, UAH mln</v>
      </c>
      <c r="D6" s="117" t="str">
        <f>'Data table'!F6</f>
        <v>Regulatory capital, UAH mln</v>
      </c>
      <c r="E6" s="117" t="str">
        <f>'Data table'!G6</f>
        <v>CAR</v>
      </c>
      <c r="F6" s="117" t="str">
        <f>'Data table'!H6</f>
        <v>Core capital ratio</v>
      </c>
      <c r="G6" s="117" t="str">
        <f>C6</f>
        <v>Core capital, UAH mln</v>
      </c>
      <c r="H6" s="117" t="str">
        <f t="shared" ref="H6:J6" si="0">D6</f>
        <v>Regulatory capital, UAH mln</v>
      </c>
      <c r="I6" s="117" t="str">
        <f t="shared" si="0"/>
        <v>CAR</v>
      </c>
      <c r="J6" s="117" t="str">
        <f t="shared" si="0"/>
        <v>Core capital ratio</v>
      </c>
      <c r="K6" s="117" t="str">
        <f>G6</f>
        <v>Core capital, UAH mln</v>
      </c>
      <c r="L6" s="117" t="str">
        <f t="shared" ref="L6" si="1">H6</f>
        <v>Regulatory capital, UAH mln</v>
      </c>
      <c r="M6" s="117" t="str">
        <f t="shared" ref="M6" si="2">I6</f>
        <v>CAR</v>
      </c>
      <c r="N6" s="117" t="str">
        <f t="shared" ref="N6" si="3">J6</f>
        <v>Core capital ratio</v>
      </c>
      <c r="O6" s="172"/>
    </row>
    <row r="7" spans="2:16" x14ac:dyDescent="0.25">
      <c r="B7" s="53" t="str">
        <f>'Individual banks'!C4</f>
        <v>Bank's data as of 1 Jan 2019</v>
      </c>
      <c r="C7" s="96" t="str">
        <f>IFERROR(INDEX('Data table'!$E$10:$BC$38,MATCH('Comparison with group'!$I$2,'Data table'!$C$10:$C$38,0),MATCH('Comparison with group'!C$6,'Data table'!$E$6:$I$6,0)),"")</f>
        <v/>
      </c>
      <c r="D7" s="96" t="str">
        <f>IFERROR(INDEX('Data table'!$E$10:$BC$38,MATCH('Comparison with group'!$I$2,'Data table'!$C$10:$C$38,0),MATCH('Comparison with group'!D$6,'Data table'!$E$6:$I$6,0)),"")</f>
        <v/>
      </c>
      <c r="E7" s="43" t="str">
        <f>IFERROR(INDEX('Data table'!$E$10:$BC$38,MATCH('Comparison with group'!$I$2,'Data table'!$C$10:$C$38,0),MATCH('Comparison with group'!E$6,'Data table'!$E$6:$I$6,0)),"")</f>
        <v/>
      </c>
      <c r="F7" s="43" t="str">
        <f>IFERROR(INDEX('Data table'!$E$10:$BC$38,MATCH('Comparison with group'!$I$2,'Data table'!$C$10:$C$38,0),MATCH('Comparison with group'!F$6,'Data table'!$E$6:$I$6,0)),"")</f>
        <v/>
      </c>
      <c r="G7" s="96">
        <f>SUM('Data table'!E$10:E$38)</f>
        <v>71526.751999999993</v>
      </c>
      <c r="H7" s="96">
        <f>SUM('Data table'!F$10:F$38)</f>
        <v>109380.16099999999</v>
      </c>
      <c r="I7" s="43">
        <f>H7/SUM('Data table'!$I$10:$I$38)</f>
        <v>0.15244936112572316</v>
      </c>
      <c r="J7" s="43">
        <f>G7/SUM('Data table'!$I$10:$I$38)</f>
        <v>9.9690908717880208E-2</v>
      </c>
      <c r="K7" s="96" t="str">
        <f>IF(K5="","",SUMIFS('Data table'!E$10:E$38,'Data table'!$D$10:$D$38,'Comparison with group'!$K$5:$N$5))</f>
        <v/>
      </c>
      <c r="L7" s="96" t="str">
        <f>IF(K5="","",SUMIFS('Data table'!F$10:F$38,'Data table'!$D$10:$D$38,$K$5))</f>
        <v/>
      </c>
      <c r="M7" s="43" t="str">
        <f>IFERROR(L7/SUMIFS('Data table'!$I$10:$I$38,'Data table'!$D$10:$D$38,$K$5),"")</f>
        <v/>
      </c>
      <c r="N7" s="43" t="str">
        <f>IFERROR(K7/SUMIFS('Data table'!$I$10:$I$38,'Data table'!$D$10:$D$38,$K$5),"")</f>
        <v/>
      </c>
      <c r="O7" s="95">
        <v>7.0000000000000007E-2</v>
      </c>
    </row>
    <row r="8" spans="2:16" x14ac:dyDescent="0.25">
      <c r="B8" s="49" t="str">
        <f>'Individual banks'!D4</f>
        <v>AQR as of 1 Jan 2019</v>
      </c>
      <c r="C8" s="44" t="str">
        <f ca="1">IFERROR(OFFSET(INDEX('Data table'!$E$10:$BC$38,MATCH('Comparison with group'!$I$2,'Data table'!$C$10:$C$38,0),MATCH('Comparison with group'!C$6,'Data table'!$J$6:$O$6,0)),0,5),"")</f>
        <v/>
      </c>
      <c r="D8" s="44" t="str">
        <f ca="1">IFERROR(OFFSET(INDEX('Data table'!$E$10:$BC$38,MATCH('Comparison with group'!$I$2,'Data table'!$C$10:$C$38,0),MATCH('Comparison with group'!D$6,'Data table'!$J$6:$O$6,0)),0,5),"")</f>
        <v/>
      </c>
      <c r="E8" s="41" t="str">
        <f ca="1">IFERROR(OFFSET(INDEX('Data table'!$E$10:$BC$38,MATCH('Comparison with group'!$I$2,'Data table'!$C$10:$C$38,0),MATCH('Comparison with group'!E$6,'Data table'!$J$6:$O$6,0)),0,5),"")</f>
        <v/>
      </c>
      <c r="F8" s="41" t="str">
        <f ca="1">IFERROR(OFFSET(INDEX('Data table'!$E$10:$BC$38,MATCH('Comparison with group'!$I$2,'Data table'!$C$10:$C$38,0),MATCH('Comparison with group'!F$6,'Data table'!$J$6:$O$6,0)),0,5),"")</f>
        <v/>
      </c>
      <c r="G8" s="44">
        <f>SUM('Data table'!K$10:K$38)</f>
        <v>70758.288</v>
      </c>
      <c r="H8" s="44">
        <f>SUM('Data table'!L$10:L$38)</f>
        <v>108430.61700000001</v>
      </c>
      <c r="I8" s="41">
        <f>H8/SUM('Data table'!$O$10:$O$38)</f>
        <v>0.15144259541972055</v>
      </c>
      <c r="J8" s="41">
        <f>G8/SUM('Data table'!$O$10:$O$38)</f>
        <v>9.8826503792522613E-2</v>
      </c>
      <c r="K8" s="44" t="str">
        <f>IF(K5="","",SUMIFS('Data table'!K$10:K$38,'Data table'!$D$10:$D$38,'Comparison with group'!$K$5:$N$5))</f>
        <v/>
      </c>
      <c r="L8" s="44" t="str">
        <f>IF(K5="","",SUMIFS('Data table'!L$10:L$38,'Data table'!$D$10:$D$38,$K$5))</f>
        <v/>
      </c>
      <c r="M8" s="41" t="str">
        <f>IFERROR(L8/SUMIFS('Data table'!$O$10:$O$38,'Data table'!$D$10:$D$38,$K$5),"")</f>
        <v/>
      </c>
      <c r="N8" s="41" t="str">
        <f>IFERROR(K8/SUMIFS('Data table'!$O$10:$O$38,'Data table'!$D$10:$D$38,$K$5),"")</f>
        <v/>
      </c>
      <c r="O8" s="90">
        <v>7.0000000000000007E-2</v>
      </c>
    </row>
    <row r="9" spans="2:16" ht="13.2" customHeight="1" x14ac:dyDescent="0.25">
      <c r="B9" s="89" t="str">
        <f>IF($O$1="ENG","Forecast year","Прогнозний рік")</f>
        <v>Forecast year</v>
      </c>
      <c r="C9" s="179" t="str">
        <f>IF($O$1="ENG","Baseline scenario","За базовим макроекономічним сценарієм")</f>
        <v>Baseline scenario</v>
      </c>
      <c r="D9" s="180"/>
      <c r="E9" s="180"/>
      <c r="F9" s="180"/>
      <c r="G9" s="180"/>
      <c r="H9" s="180"/>
      <c r="I9" s="180"/>
      <c r="J9" s="180"/>
      <c r="K9" s="180"/>
      <c r="L9" s="180"/>
      <c r="M9" s="180"/>
      <c r="N9" s="180"/>
      <c r="O9" s="181"/>
    </row>
    <row r="10" spans="2:16" x14ac:dyDescent="0.25">
      <c r="B10" s="56" t="str">
        <f>'Data table'!P7</f>
        <v>1st</v>
      </c>
      <c r="C10" s="44" t="str">
        <f ca="1">IFERROR(OFFSET(INDEX('Data table'!$E$10:$BC$38,MATCH('Comparison with group'!$I$2,'Data table'!$C$10:$C$38,0),MATCH($B10,'Data table'!$P$7:$R$7,0)),0,11),"")</f>
        <v/>
      </c>
      <c r="D10" s="44" t="str">
        <f ca="1">IFERROR(OFFSET(INDEX('Data table'!$E$10:$BC$38,MATCH('Comparison with group'!$I$2,'Data table'!$C$10:$C$38,0),MATCH($B10,'Data table'!$P$7:$R$7,0)),0,14),"")</f>
        <v/>
      </c>
      <c r="E10" s="41" t="str">
        <f ca="1">IFERROR(OFFSET(INDEX('Data table'!$E$10:$BC$38,MATCH('Comparison with group'!$I$2,'Data table'!$C$10:$C$38,0),MATCH($B10,'Data table'!$P$7:$R$7,0)),0,17),"")</f>
        <v/>
      </c>
      <c r="F10" s="41" t="str">
        <f ca="1">IFERROR(OFFSET(INDEX('Data table'!$E$10:$BC$38,MATCH('Comparison with group'!$I$2,'Data table'!$C$10:$C$38,0),MATCH($B10,'Data table'!$P$7:$R$7,0)),0,20),"")</f>
        <v/>
      </c>
      <c r="G10" s="44">
        <f>SUM('Data table'!P$10:P$38)</f>
        <v>92069.852000000014</v>
      </c>
      <c r="H10" s="44">
        <f>SUM('Data table'!S$10:S$38)</f>
        <v>111577.35199999998</v>
      </c>
      <c r="I10" s="41">
        <f>H10/SUM('Data table'!$AB$10:$AB$38)</f>
        <v>0.15534023464129751</v>
      </c>
      <c r="J10" s="41">
        <f>G10/SUM('Data table'!$AB$10:$AB$38)</f>
        <v>0.12818150060658851</v>
      </c>
      <c r="K10" s="44" t="str">
        <f>IF($K$5="","",SUMIFS('Data table'!P$10:P$38,'Data table'!$D$10:$D$38,'Comparison with group'!$K$5:$N$5))</f>
        <v/>
      </c>
      <c r="L10" s="44" t="str">
        <f>IF(K5="","",SUMIFS('Data table'!S$10:S$38,'Data table'!$D$10:$D$38,$K$5))</f>
        <v/>
      </c>
      <c r="M10" s="41" t="str">
        <f>IFERROR(L10/SUMIFS('Data table'!$AB$10:$AB$38,'Data table'!$D$10:$D$38,$K$5),"")</f>
        <v/>
      </c>
      <c r="N10" s="41" t="str">
        <f>IFERROR(K10/SUMIFS('Data table'!$AB$10:$AB$38,'Data table'!$D$10:$D$38,$K$5),"")</f>
        <v/>
      </c>
      <c r="O10" s="90">
        <v>7.0000000000000007E-2</v>
      </c>
    </row>
    <row r="11" spans="2:16" x14ac:dyDescent="0.25">
      <c r="B11" s="57" t="str">
        <f>'Data table'!Q7</f>
        <v>2nd</v>
      </c>
      <c r="C11" s="44" t="str">
        <f ca="1">IFERROR(OFFSET(INDEX('Data table'!$E$10:$BC$38,MATCH('Comparison with group'!$I$2,'Data table'!$C$10:$C$38,0),MATCH($B11,'Data table'!$P$7:$R$7,0)),0,11),"")</f>
        <v/>
      </c>
      <c r="D11" s="44" t="str">
        <f ca="1">IFERROR(OFFSET(INDEX('Data table'!$E$10:$BC$38,MATCH('Comparison with group'!$I$2,'Data table'!$C$10:$C$38,0),MATCH($B11,'Data table'!$P$7:$R$7,0)),0,14),"")</f>
        <v/>
      </c>
      <c r="E11" s="41" t="str">
        <f ca="1">IFERROR(OFFSET(INDEX('Data table'!$E$10:$BC$38,MATCH('Comparison with group'!$I$2,'Data table'!$C$10:$C$38,0),MATCH($B11,'Data table'!$P$7:$R$7,0)),0,17),"")</f>
        <v/>
      </c>
      <c r="F11" s="41" t="str">
        <f ca="1">IFERROR(OFFSET(INDEX('Data table'!$E$10:$BC$38,MATCH('Comparison with group'!$I$2,'Data table'!$C$10:$C$38,0),MATCH($B11,'Data table'!$P$7:$R$7,0)),0,20),"")</f>
        <v/>
      </c>
      <c r="G11" s="44">
        <f>SUM('Data table'!Q$10:Q$38)</f>
        <v>117975.62700000001</v>
      </c>
      <c r="H11" s="44">
        <f>SUM('Data table'!T$10:T$38)</f>
        <v>134283.505</v>
      </c>
      <c r="I11" s="41">
        <f>H11/SUM('Data table'!$AC$10:$AC$38)</f>
        <v>0.18760995170134889</v>
      </c>
      <c r="J11" s="41">
        <f>G11/SUM('Data table'!$AC$10:$AC$38)</f>
        <v>0.16482591576237421</v>
      </c>
      <c r="K11" s="44" t="str">
        <f>IF($K$5="","",SUMIFS('Data table'!Q$10:Q$38,'Data table'!$D$10:$D$38,'Comparison with group'!$K$5:$N$5))</f>
        <v/>
      </c>
      <c r="L11" s="44" t="str">
        <f>IF(K5="","",SUMIFS('Data table'!T$10:T$38,'Data table'!$D$10:$D$38,$K$5))</f>
        <v/>
      </c>
      <c r="M11" s="41" t="str">
        <f>IFERROR(L11/SUMIFS('Data table'!$AC$10:$AC$38,'Data table'!$D$10:$D$38,$K$5),"")</f>
        <v/>
      </c>
      <c r="N11" s="41" t="str">
        <f>IFERROR(K11/SUMIFS('Data table'!$AC$10:$AC$38,'Data table'!$D$10:$D$38,$K$5),"")</f>
        <v/>
      </c>
      <c r="O11" s="90">
        <v>7.0000000000000007E-2</v>
      </c>
    </row>
    <row r="12" spans="2:16" x14ac:dyDescent="0.25">
      <c r="B12" s="54" t="str">
        <f>'Data table'!R7</f>
        <v>3rd</v>
      </c>
      <c r="C12" s="44" t="str">
        <f ca="1">IFERROR(OFFSET(INDEX('Data table'!$E$10:$BC$38,MATCH('Comparison with group'!$I$2,'Data table'!$C$10:$C$38,0),MATCH($B12,'Data table'!$P$7:$R$7,0)),0,11),"")</f>
        <v/>
      </c>
      <c r="D12" s="44" t="str">
        <f ca="1">IFERROR(OFFSET(INDEX('Data table'!$E$10:$BC$38,MATCH('Comparison with group'!$I$2,'Data table'!$C$10:$C$38,0),MATCH($B12,'Data table'!$P$7:$R$7,0)),0,14),"")</f>
        <v/>
      </c>
      <c r="E12" s="41" t="str">
        <f ca="1">IFERROR(OFFSET(INDEX('Data table'!$E$10:$BC$38,MATCH('Comparison with group'!$I$2,'Data table'!$C$10:$C$38,0),MATCH($B12,'Data table'!$P$7:$R$7,0)),0,17),"")</f>
        <v/>
      </c>
      <c r="F12" s="41" t="str">
        <f ca="1">IFERROR(OFFSET(INDEX('Data table'!$E$10:$BC$38,MATCH('Comparison with group'!$I$2,'Data table'!$C$10:$C$38,0),MATCH($B12,'Data table'!$P$7:$R$7,0)),0,20),"")</f>
        <v/>
      </c>
      <c r="G12" s="44">
        <f>SUM('Data table'!R$10:R$38)</f>
        <v>137766.33100000001</v>
      </c>
      <c r="H12" s="44">
        <f>SUM('Data table'!U$10:U$38)</f>
        <v>152766.88200000001</v>
      </c>
      <c r="I12" s="41">
        <f>H12/SUM('Data table'!$AD$10:$AD$38)</f>
        <v>0.21977011504312452</v>
      </c>
      <c r="J12" s="41">
        <f>G12/SUM('Data table'!$AD$10:$AD$38)</f>
        <v>0.19819035393377454</v>
      </c>
      <c r="K12" s="44" t="str">
        <f>IF($K$5="","",SUMIFS('Data table'!R$10:R$38,'Data table'!$D$10:$D$38,'Comparison with group'!$K$5:$N$5))</f>
        <v/>
      </c>
      <c r="L12" s="44" t="str">
        <f>IF(K5="","",SUMIFS('Data table'!U$10:U$38,'Data table'!$D$10:$D$38,$K$5))</f>
        <v/>
      </c>
      <c r="M12" s="41" t="str">
        <f>IFERROR(L12/SUMIFS('Data table'!$AD$10:$AD$38,'Data table'!$D$10:$D$38,$K$5),"")</f>
        <v/>
      </c>
      <c r="N12" s="41" t="str">
        <f>IFERROR(K12/SUMIFS('Data table'!$AD$10:$AD$38,'Data table'!$D$10:$D$38,$K$5),"")</f>
        <v/>
      </c>
      <c r="O12" s="90">
        <v>7.0000000000000007E-2</v>
      </c>
    </row>
    <row r="13" spans="2:16" ht="13.2" customHeight="1" x14ac:dyDescent="0.25">
      <c r="B13" s="89" t="str">
        <f>IF($O$1="ENG","Forecast year","Прогнозний рік")</f>
        <v>Forecast year</v>
      </c>
      <c r="C13" s="179" t="str">
        <f>IF($O$1="ENG","Adverse scenario","За несприятливим макроекономічним сценарієм")</f>
        <v>Adverse scenario</v>
      </c>
      <c r="D13" s="180"/>
      <c r="E13" s="180"/>
      <c r="F13" s="180"/>
      <c r="G13" s="180"/>
      <c r="H13" s="180"/>
      <c r="I13" s="180"/>
      <c r="J13" s="180"/>
      <c r="K13" s="180"/>
      <c r="L13" s="180"/>
      <c r="M13" s="180"/>
      <c r="N13" s="180"/>
      <c r="O13" s="181"/>
    </row>
    <row r="14" spans="2:16" ht="14.4" customHeight="1" x14ac:dyDescent="0.25">
      <c r="B14" s="54" t="str">
        <f>B10</f>
        <v>1st</v>
      </c>
      <c r="C14" s="44" t="str">
        <f ca="1">IFERROR(OFFSET(INDEX('Data table'!$E$10:$BC$38,MATCH('Comparison with group'!$I$2,'Data table'!$C$10:$C$38,0),MATCH($B14,'Data table'!$P$7:$R$7,0)),0,26),"")</f>
        <v/>
      </c>
      <c r="D14" s="44" t="str">
        <f ca="1">IFERROR(OFFSET(INDEX('Data table'!$E$10:$BC$38,MATCH('Comparison with group'!$I$2,'Data table'!$C$10:$C$38,0),MATCH($B14,'Data table'!$P$7:$R$7,0)),0,29),"")</f>
        <v/>
      </c>
      <c r="E14" s="41" t="str">
        <f ca="1">IFERROR(OFFSET(INDEX('Data table'!$E$10:$BC$38,MATCH('Comparison with group'!$I$2,'Data table'!$C$10:$C$38,0),MATCH($B14,'Data table'!$P$7:$R$7,0)),0,32),"")</f>
        <v/>
      </c>
      <c r="F14" s="41" t="str">
        <f ca="1">IFERROR(OFFSET(INDEX('Data table'!$E$10:$BC$38,MATCH('Comparison with group'!$I$2,'Data table'!$C$10:$C$38,0),MATCH($B14,'Data table'!$P$7:$R$7,0)),0,35),"")</f>
        <v/>
      </c>
      <c r="G14" s="44">
        <f>SUM('Data table'!AE$10:AE$38)</f>
        <v>21632.966</v>
      </c>
      <c r="H14" s="44">
        <f>SUM('Data table'!AH$10:AH$38)</f>
        <v>37492.307000000001</v>
      </c>
      <c r="I14" s="41">
        <f>H14/SUM('Data table'!$AQ$10:$AQ$38)</f>
        <v>4.9476310104680066E-2</v>
      </c>
      <c r="J14" s="41">
        <f>G14/SUM('Data table'!$AQ$10:$AQ$38)</f>
        <v>2.8547705381266626E-2</v>
      </c>
      <c r="K14" s="44" t="str">
        <f>IF(K5="","",SUMIFS('Data table'!AE$10:AE$38,'Data table'!$D$10:$D$38,'Comparison with group'!$K$5:$N$5))</f>
        <v/>
      </c>
      <c r="L14" s="44" t="str">
        <f>IF(K5="","",SUMIFS('Data table'!AH$10:AH$38,'Data table'!$D$10:$D$38,$K$5))</f>
        <v/>
      </c>
      <c r="M14" s="41" t="str">
        <f>IFERROR(L14/SUMIFS('Data table'!$AQ$10:$AQ$38,'Data table'!$D$10:$D$38,$K$5),"")</f>
        <v/>
      </c>
      <c r="N14" s="41" t="str">
        <f>IFERROR(K14/SUMIFS('Data table'!$AQ$10:$AQ$38,'Data table'!$D$10:$D$38,$K$5),"")</f>
        <v/>
      </c>
      <c r="O14" s="41">
        <f>O10/2</f>
        <v>3.5000000000000003E-2</v>
      </c>
    </row>
    <row r="15" spans="2:16" x14ac:dyDescent="0.25">
      <c r="B15" s="54" t="str">
        <f t="shared" ref="B15:B16" si="4">B11</f>
        <v>2nd</v>
      </c>
      <c r="C15" s="44" t="str">
        <f ca="1">IFERROR(OFFSET(INDEX('Data table'!$E$10:$BC$38,MATCH('Comparison with group'!$I$2,'Data table'!$C$10:$C$38,0),MATCH($B15,'Data table'!$P$7:$R$7,0)),0,26),"")</f>
        <v/>
      </c>
      <c r="D15" s="44" t="str">
        <f ca="1">IFERROR(OFFSET(INDEX('Data table'!$E$10:$BC$38,MATCH('Comparison with group'!$I$2,'Data table'!$C$10:$C$38,0),MATCH($B15,'Data table'!$P$7:$R$7,0)),0,29),"")</f>
        <v/>
      </c>
      <c r="E15" s="41" t="str">
        <f ca="1">IFERROR(OFFSET(INDEX('Data table'!$E$10:$BC$38,MATCH('Comparison with group'!$I$2,'Data table'!$C$10:$C$38,0),MATCH($B15,'Data table'!$P$7:$R$7,0)),0,32),"")</f>
        <v/>
      </c>
      <c r="F15" s="41" t="str">
        <f ca="1">IFERROR(OFFSET(INDEX('Data table'!$E$10:$BC$38,MATCH('Comparison with group'!$I$2,'Data table'!$C$10:$C$38,0),MATCH($B15,'Data table'!$P$7:$R$7,0)),0,35),"")</f>
        <v/>
      </c>
      <c r="G15" s="44">
        <f>SUM('Data table'!AF$10:AF$38)</f>
        <v>18908.820000000003</v>
      </c>
      <c r="H15" s="44">
        <f>SUM('Data table'!AI$10:AI$38)</f>
        <v>34651.311999999998</v>
      </c>
      <c r="I15" s="41">
        <f>H15/SUM('Data table'!$AR$10:$AR$38)</f>
        <v>4.4627244968096641E-2</v>
      </c>
      <c r="J15" s="41">
        <f>G15/SUM('Data table'!$AR$10:$AR$38)</f>
        <v>2.4352571186846989E-2</v>
      </c>
      <c r="K15" s="44" t="str">
        <f>IF(K5="","",SUMIFS('Data table'!AF$10:AF$38,'Data table'!$D$10:$D$38,'Comparison with group'!$K$5:$N$5))</f>
        <v/>
      </c>
      <c r="L15" s="44" t="str">
        <f>IF(K5="","",SUMIFS('Data table'!AI$10:AI$38,'Data table'!$D$10:$D$38,$K$5))</f>
        <v/>
      </c>
      <c r="M15" s="41" t="str">
        <f>IFERROR(L15/SUMIFS('Data table'!$AR$10:$AR$38,'Data table'!$D$10:$D$38,$K$5),"")</f>
        <v/>
      </c>
      <c r="N15" s="41" t="str">
        <f>IFERROR(K15/SUMIFS('Data table'!$AR$10:$AR$38,'Data table'!$D$10:$D$38,$K$5),"")</f>
        <v/>
      </c>
      <c r="O15" s="41">
        <f>O11/2</f>
        <v>3.5000000000000003E-2</v>
      </c>
    </row>
    <row r="16" spans="2:16" x14ac:dyDescent="0.25">
      <c r="B16" s="54" t="str">
        <f t="shared" si="4"/>
        <v>3rd</v>
      </c>
      <c r="C16" s="44" t="str">
        <f ca="1">IFERROR(OFFSET(INDEX('Data table'!$E$10:$BC$38,MATCH('Comparison with group'!$I$2,'Data table'!$C$10:$C$38,0),MATCH($B16,'Data table'!$P$7:$R$7,0)),0,26),"")</f>
        <v/>
      </c>
      <c r="D16" s="44" t="str">
        <f ca="1">IFERROR(OFFSET(INDEX('Data table'!$E$10:$BC$38,MATCH('Comparison with group'!$I$2,'Data table'!$C$10:$C$38,0),MATCH($B16,'Data table'!$P$7:$R$7,0)),0,29),"")</f>
        <v/>
      </c>
      <c r="E16" s="41" t="str">
        <f ca="1">IFERROR(OFFSET(INDEX('Data table'!$E$10:$BC$38,MATCH('Comparison with group'!$I$2,'Data table'!$C$10:$C$38,0),MATCH($B16,'Data table'!$P$7:$R$7,0)),0,32),"")</f>
        <v/>
      </c>
      <c r="F16" s="41" t="str">
        <f ca="1">IFERROR(OFFSET(INDEX('Data table'!$E$10:$BC$38,MATCH('Comparison with group'!$I$2,'Data table'!$C$10:$C$38,0),MATCH($B16,'Data table'!$P$7:$R$7,0)),0,35),"")</f>
        <v/>
      </c>
      <c r="G16" s="44">
        <f>SUM('Data table'!AG$10:AG$38)</f>
        <v>24698.981999999993</v>
      </c>
      <c r="H16" s="44">
        <f>SUM('Data table'!AJ$10:AJ$38)</f>
        <v>40154.094000000005</v>
      </c>
      <c r="I16" s="41">
        <f>H16/SUM('Data table'!$AS$10:$AS$38)</f>
        <v>5.2434256801710211E-2</v>
      </c>
      <c r="J16" s="41">
        <f>G16/SUM('Data table'!$AS$10:$AS$38)</f>
        <v>3.2252570931592117E-2</v>
      </c>
      <c r="K16" s="44" t="str">
        <f>IF(K5="","",SUMIFS('Data table'!AG$10:AG$38,'Data table'!$D$10:$D$38,'Comparison with group'!$K$5:$N$5))</f>
        <v/>
      </c>
      <c r="L16" s="44" t="str">
        <f>IF(K5="","",SUMIFS('Data table'!AJ$10:AJ$38,'Data table'!$D$10:$D$38,$K$5))</f>
        <v/>
      </c>
      <c r="M16" s="41" t="str">
        <f>IFERROR(L16/SUMIFS('Data table'!$AS$10:$AS$38,'Data table'!$D$10:$D$38,$K$5),"")</f>
        <v/>
      </c>
      <c r="N16" s="41" t="str">
        <f>IFERROR(K16/SUMIFS('Data table'!$AS$10:$AS$38,'Data table'!$D$10:$D$38,$K$5),"")</f>
        <v/>
      </c>
      <c r="O16" s="41">
        <f>O12/2</f>
        <v>3.5000000000000003E-2</v>
      </c>
    </row>
    <row r="17" spans="2:15" ht="10.199999999999999" customHeight="1" x14ac:dyDescent="0.25">
      <c r="B17" s="94" t="str">
        <f>'Individual banks'!$B$13</f>
        <v>AQR – data of asset quality review and collateral eligibility assessment for bank lending, including adjustments in the bank’s financial statements for the reporting year and extrapolation</v>
      </c>
    </row>
    <row r="18" spans="2:15" ht="9.6" customHeight="1" x14ac:dyDescent="0.25">
      <c r="B18" s="94" t="str">
        <f>IF($O$1="ENG","","ОК - основний капітал, РК - регулятивний капітал, Н2 - норматив достатності (адекватності) регулятивного капіталу, Н3 - норматив достатності (адекватності) основного капіталу.")</f>
        <v/>
      </c>
    </row>
    <row r="19" spans="2:15" ht="20.399999999999999" customHeight="1" x14ac:dyDescent="0.25">
      <c r="B19" s="176" t="str">
        <f>IFERROR(IF(OR($I$2="Альфа-Банк**",$I$2="Укрсоцбанк**",$I$2="Alfa-Bank**",$I$2="Ukrsotsbank**"),'Data table'!$A$44,""),"")</f>
        <v/>
      </c>
      <c r="C19" s="176"/>
      <c r="D19" s="176"/>
      <c r="E19" s="176"/>
      <c r="F19" s="176"/>
      <c r="G19" s="176"/>
      <c r="H19" s="176"/>
      <c r="I19" s="176"/>
      <c r="J19" s="176"/>
      <c r="K19" s="176"/>
      <c r="L19" s="176"/>
      <c r="M19" s="176"/>
      <c r="N19" s="176"/>
      <c r="O19" s="176"/>
    </row>
    <row r="20" spans="2:15" ht="13.2" customHeight="1" x14ac:dyDescent="0.25">
      <c r="C20" s="178" t="str">
        <f>IF($O$1="ENG","Core capital ratio under baseline scenario","Норматив достатності основного капіталу Н3 за базовим сценарієм")</f>
        <v>Core capital ratio under baseline scenario</v>
      </c>
      <c r="D20" s="178"/>
      <c r="E20" s="178"/>
      <c r="F20" s="178"/>
      <c r="H20" s="178" t="str">
        <f>IF($O$1="ENG","Core capital ratio under adverse scenario","Норматив достатності основного капіталу Н3 за несприятливим сценарієм")</f>
        <v>Core capital ratio under adverse scenario</v>
      </c>
      <c r="I20" s="178"/>
      <c r="J20" s="178"/>
      <c r="K20" s="178"/>
    </row>
    <row r="21" spans="2:15" x14ac:dyDescent="0.25">
      <c r="C21" s="178"/>
      <c r="D21" s="178"/>
      <c r="E21" s="178"/>
      <c r="F21" s="178"/>
      <c r="H21" s="178"/>
      <c r="I21" s="178"/>
      <c r="J21" s="178"/>
      <c r="K21" s="178"/>
    </row>
    <row r="38" spans="2:2" x14ac:dyDescent="0.25">
      <c r="B38" s="97" t="str">
        <f>IF($O$1="ENG","Hurdle rate of core capital ratio under baseline scenario","Граничне значення Н3 за базового сценарію")</f>
        <v>Hurdle rate of core capital ratio under baseline scenario</v>
      </c>
    </row>
    <row r="39" spans="2:2" x14ac:dyDescent="0.25">
      <c r="B39" s="97" t="str">
        <f>IF($O$1="ENG","Hurdle rate of core capital ratio under adverse scenario","Граничне значення Н3 за несприятливого сценарію")</f>
        <v>Hurdle rate of core capital ratio under adverse scenario</v>
      </c>
    </row>
  </sheetData>
  <mergeCells count="10">
    <mergeCell ref="C13:O13"/>
    <mergeCell ref="O5:O6"/>
    <mergeCell ref="C20:F21"/>
    <mergeCell ref="H20:K21"/>
    <mergeCell ref="B5:B6"/>
    <mergeCell ref="C5:F5"/>
    <mergeCell ref="K5:N5"/>
    <mergeCell ref="G5:J5"/>
    <mergeCell ref="C9:O9"/>
    <mergeCell ref="B19:O19"/>
  </mergeCells>
  <conditionalFormatting sqref="I2">
    <cfRule type="containsBlanks" dxfId="2" priority="1">
      <formula>LEN(TRIM(I2))=0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4">
              <controlPr defaultSize="0" autoLine="0" autoPict="0">
                <anchor moveWithCells="1">
                  <from>
                    <xdr:col>6</xdr:col>
                    <xdr:colOff>822960</xdr:colOff>
                    <xdr:row>0</xdr:row>
                    <xdr:rowOff>160020</xdr:rowOff>
                  </from>
                  <to>
                    <xdr:col>10</xdr:col>
                    <xdr:colOff>83820</xdr:colOff>
                    <xdr:row>2</xdr:row>
                    <xdr:rowOff>30480</xdr:rowOff>
                  </to>
                </anchor>
              </controlPr>
            </control>
          </mc:Choice>
        </mc:AlternateContent>
        <mc:AlternateContent xmlns:mc="http://schemas.openxmlformats.org/markup-compatibility/2006">
          <mc:Choice Requires="x14">
            <control shapeId="2053" r:id="rId5" name="Drop Down 5">
              <controlPr defaultSize="0" autoLine="0" autoPict="0">
                <anchor moveWithCells="1">
                  <from>
                    <xdr:col>13</xdr:col>
                    <xdr:colOff>541020</xdr:colOff>
                    <xdr:row>0</xdr:row>
                    <xdr:rowOff>7620</xdr:rowOff>
                  </from>
                  <to>
                    <xdr:col>15</xdr:col>
                    <xdr:colOff>0</xdr:colOff>
                    <xdr:row>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20"/>
  <sheetViews>
    <sheetView zoomScale="90" zoomScaleNormal="90" workbookViewId="0">
      <selection activeCell="B6" sqref="B6"/>
    </sheetView>
  </sheetViews>
  <sheetFormatPr defaultColWidth="8.88671875" defaultRowHeight="13.2" x14ac:dyDescent="0.25"/>
  <cols>
    <col min="1" max="1" width="4" style="29" customWidth="1"/>
    <col min="2" max="2" width="25.44140625" style="29" customWidth="1"/>
    <col min="3" max="3" width="12" style="29" customWidth="1"/>
    <col min="4" max="4" width="12.88671875" style="29" customWidth="1"/>
    <col min="5" max="6" width="10.33203125" style="29" customWidth="1"/>
    <col min="7" max="7" width="12" style="29" customWidth="1"/>
    <col min="8" max="8" width="13.44140625" style="29" customWidth="1"/>
    <col min="9" max="10" width="10.33203125" style="29" customWidth="1"/>
    <col min="11" max="11" width="12.109375" style="29" customWidth="1"/>
    <col min="12" max="12" width="11.88671875" style="29" customWidth="1"/>
    <col min="13" max="14" width="10.33203125" style="29" customWidth="1"/>
    <col min="15" max="18" width="11.6640625" style="29" customWidth="1"/>
    <col min="19" max="19" width="8.88671875" style="29" customWidth="1"/>
    <col min="20" max="16384" width="8.88671875" style="29"/>
  </cols>
  <sheetData>
    <row r="1" spans="2:19" x14ac:dyDescent="0.25">
      <c r="R1" s="93" t="str">
        <f>'Individual banks'!K1</f>
        <v>ENG</v>
      </c>
      <c r="S1" s="99" t="str">
        <f>IF($R$1="ENG","Змінити мову тут","Change language here")</f>
        <v>Змінити мову тут</v>
      </c>
    </row>
    <row r="2" spans="2:19" x14ac:dyDescent="0.25">
      <c r="B2" s="33" t="str">
        <f>IF($R$1="ENG","Stress test results (comparison across banks)","Результати стрес-тестування банку (порівняння банків)")</f>
        <v>Stress test results (comparison across banks)</v>
      </c>
    </row>
    <row r="3" spans="2:19" x14ac:dyDescent="0.25">
      <c r="B3" s="39"/>
      <c r="C3" s="39"/>
      <c r="D3" s="39"/>
      <c r="E3" s="39"/>
      <c r="F3" s="39"/>
      <c r="G3" s="39"/>
      <c r="H3" s="39"/>
      <c r="I3" s="39"/>
      <c r="J3" s="39"/>
      <c r="K3" s="39"/>
      <c r="L3" s="39"/>
      <c r="M3" s="39"/>
      <c r="N3" s="39"/>
      <c r="O3" s="39"/>
      <c r="P3" s="39"/>
      <c r="Q3" s="39"/>
      <c r="R3" s="40" t="s">
        <v>102</v>
      </c>
    </row>
    <row r="4" spans="2:19" ht="23.4" customHeight="1" x14ac:dyDescent="0.25">
      <c r="B4" s="175" t="str">
        <f>IF($R$1="ENG","Indicator","Показник")</f>
        <v>Indicator</v>
      </c>
      <c r="C4" s="118">
        <v>30</v>
      </c>
      <c r="D4" s="119" t="str">
        <f>IFERROR(INDEX('Data table'!$C$10:$C$38,C4,1),"")</f>
        <v/>
      </c>
      <c r="E4" s="119"/>
      <c r="F4" s="119"/>
      <c r="G4" s="118">
        <v>30</v>
      </c>
      <c r="H4" s="119" t="str">
        <f>IFERROR(INDEX('Data table'!$C$10:$C$38,G4,1),"")</f>
        <v/>
      </c>
      <c r="I4" s="119"/>
      <c r="J4" s="119"/>
      <c r="K4" s="118">
        <v>30</v>
      </c>
      <c r="L4" s="119" t="str">
        <f>IFERROR(INDEX('Data table'!$C$10:$C$38,K4,1),"")</f>
        <v/>
      </c>
      <c r="M4" s="119"/>
      <c r="N4" s="119"/>
      <c r="O4" s="118">
        <v>30</v>
      </c>
      <c r="P4" s="119" t="str">
        <f>IFERROR(INDEX('Data table'!$C$10:$C$38,O4,1),"")</f>
        <v/>
      </c>
      <c r="Q4" s="119"/>
      <c r="R4" s="119"/>
    </row>
    <row r="5" spans="2:19" ht="36.6" customHeight="1" x14ac:dyDescent="0.25">
      <c r="B5" s="182"/>
      <c r="C5" s="117" t="str">
        <f>'Data table'!E6</f>
        <v>Core capital, UAH mln</v>
      </c>
      <c r="D5" s="117" t="str">
        <f>'Data table'!F6</f>
        <v>Regulatory capital, UAH mln</v>
      </c>
      <c r="E5" s="117" t="str">
        <f>'Data table'!G6</f>
        <v>CAR</v>
      </c>
      <c r="F5" s="117" t="str">
        <f>'Data table'!H6</f>
        <v>Core capital ratio</v>
      </c>
      <c r="G5" s="117" t="str">
        <f>C5</f>
        <v>Core capital, UAH mln</v>
      </c>
      <c r="H5" s="117" t="str">
        <f t="shared" ref="H5:J5" si="0">D5</f>
        <v>Regulatory capital, UAH mln</v>
      </c>
      <c r="I5" s="117" t="str">
        <f t="shared" si="0"/>
        <v>CAR</v>
      </c>
      <c r="J5" s="117" t="str">
        <f t="shared" si="0"/>
        <v>Core capital ratio</v>
      </c>
      <c r="K5" s="117" t="str">
        <f>G5</f>
        <v>Core capital, UAH mln</v>
      </c>
      <c r="L5" s="117" t="str">
        <f t="shared" ref="L5:N5" si="1">H5</f>
        <v>Regulatory capital, UAH mln</v>
      </c>
      <c r="M5" s="117" t="str">
        <f t="shared" si="1"/>
        <v>CAR</v>
      </c>
      <c r="N5" s="117" t="str">
        <f t="shared" si="1"/>
        <v>Core capital ratio</v>
      </c>
      <c r="O5" s="117" t="str">
        <f>K5</f>
        <v>Core capital, UAH mln</v>
      </c>
      <c r="P5" s="117" t="str">
        <f t="shared" ref="P5:R5" si="2">L5</f>
        <v>Regulatory capital, UAH mln</v>
      </c>
      <c r="Q5" s="117" t="str">
        <f t="shared" si="2"/>
        <v>CAR</v>
      </c>
      <c r="R5" s="117" t="str">
        <f t="shared" si="2"/>
        <v>Core capital ratio</v>
      </c>
    </row>
    <row r="6" spans="2:19" x14ac:dyDescent="0.25">
      <c r="B6" s="53" t="str">
        <f>'Individual banks'!C4</f>
        <v>Bank's data as of 1 Jan 2019</v>
      </c>
      <c r="C6" s="58" t="str">
        <f>IFERROR(INDEX('Data table'!$E$10:$BC$38,MATCH('Comparison of banks'!$D$4,'Data table'!$C$10:$C$38,0),MATCH('Comparison of banks'!C$5,'Data table'!$E$6:$I$6,0)),"")</f>
        <v/>
      </c>
      <c r="D6" s="58" t="str">
        <f>IFERROR(INDEX('Data table'!$E$10:$BC$38,MATCH('Comparison of banks'!$D$4,'Data table'!$C$10:$C$38,0),MATCH('Comparison of banks'!D$5,'Data table'!$E$6:$I$6,0)),"")</f>
        <v/>
      </c>
      <c r="E6" s="48" t="str">
        <f>IFERROR(INDEX('Data table'!$E$10:$BC$38,MATCH('Comparison of banks'!$D$4,'Data table'!$C$10:$C$38,0),MATCH('Comparison of banks'!E$5,'Data table'!$E$6:$I$6,0)),"")</f>
        <v/>
      </c>
      <c r="F6" s="48" t="str">
        <f>IFERROR(INDEX('Data table'!$E$10:$BC$38,MATCH('Comparison of banks'!$D$4,'Data table'!$C$10:$C$38,0),MATCH('Comparison of banks'!F$5,'Data table'!$E$6:$I$6,0)),"")</f>
        <v/>
      </c>
      <c r="G6" s="52" t="str">
        <f>IFERROR(INDEX('Data table'!$E$10:$BC$38,MATCH('Comparison of banks'!$H$4,'Data table'!$C$10:$C$38,0),MATCH('Comparison of banks'!G$5,'Data table'!$E$6:$I$6,0)),"")</f>
        <v/>
      </c>
      <c r="H6" s="52" t="str">
        <f>IFERROR(INDEX('Data table'!$E$10:$BC$38,MATCH('Comparison of banks'!$H$4,'Data table'!$C$10:$C$38,0),MATCH('Comparison of banks'!H$5,'Data table'!$E$6:$I$6,0)),"")</f>
        <v/>
      </c>
      <c r="I6" s="42" t="str">
        <f>IFERROR(INDEX('Data table'!$E$10:$BC$38,MATCH('Comparison of banks'!$H$4,'Data table'!$C$10:$C$38,0),MATCH('Comparison of banks'!I$5,'Data table'!$E$6:$I$6,0)),"")</f>
        <v/>
      </c>
      <c r="J6" s="42" t="str">
        <f>IFERROR(INDEX('Data table'!$E$10:$BC$38,MATCH('Comparison of banks'!$H$4,'Data table'!$C$10:$C$38,0),MATCH('Comparison of banks'!J$5,'Data table'!$E$6:$I$6,0)),"")</f>
        <v/>
      </c>
      <c r="K6" s="52" t="str">
        <f>IFERROR(INDEX('Data table'!$E$10:$BC$38,MATCH('Comparison of banks'!L$4,'Data table'!$C$10:$C$38,0),MATCH('Comparison of banks'!K$5,'Data table'!$E$6:$I$6,0)),"")</f>
        <v/>
      </c>
      <c r="L6" s="52" t="str">
        <f>IFERROR(INDEX('Data table'!$E$10:$BC$38,MATCH('Comparison of banks'!L$4,'Data table'!$C$10:$C$38,0),MATCH('Comparison of banks'!L$5,'Data table'!$E$6:$I$6,0)),"")</f>
        <v/>
      </c>
      <c r="M6" s="42" t="str">
        <f>IFERROR(INDEX('Data table'!$E$10:$BC$38,MATCH('Comparison of banks'!L$4,'Data table'!$C$10:$C$38,0),MATCH('Comparison of banks'!M$5,'Data table'!$E$6:$I$6,0)),"")</f>
        <v/>
      </c>
      <c r="N6" s="42" t="str">
        <f>IFERROR(INDEX('Data table'!$E$10:$BC$38,MATCH('Comparison of banks'!L$4,'Data table'!$C$10:$C$38,0),MATCH('Comparison of banks'!N$5,'Data table'!$E$6:$I$6,0)),"")</f>
        <v/>
      </c>
      <c r="O6" s="52" t="str">
        <f>IFERROR(INDEX('Data table'!$E$10:$BC$38,MATCH('Comparison of banks'!P$4,'Data table'!$C$10:$C$38,0),MATCH('Comparison of banks'!O$5,'Data table'!$E$6:$I$6,0)),"")</f>
        <v/>
      </c>
      <c r="P6" s="52" t="str">
        <f>IFERROR(INDEX('Data table'!$E$10:$BC$38,MATCH('Comparison of banks'!P$4,'Data table'!$C$10:$C$38,0),MATCH('Comparison of banks'!P$5,'Data table'!$E$6:$I$6,0)),"")</f>
        <v/>
      </c>
      <c r="Q6" s="42" t="str">
        <f>IFERROR(INDEX('Data table'!$E$10:$BC$38,MATCH('Comparison of banks'!P$4,'Data table'!$C$10:$C$38,0),MATCH('Comparison of banks'!Q$5,'Data table'!$E$6:$I$6,0)),"")</f>
        <v/>
      </c>
      <c r="R6" s="42" t="str">
        <f>IFERROR(INDEX('Data table'!$E$10:$BC$38,MATCH('Comparison of banks'!P$4,'Data table'!$C$10:$C$38,0),MATCH('Comparison of banks'!R$5,'Data table'!$E$6:$I$6,0)),"")</f>
        <v/>
      </c>
    </row>
    <row r="7" spans="2:19" x14ac:dyDescent="0.25">
      <c r="B7" s="50" t="str">
        <f>'Individual banks'!D4</f>
        <v>AQR as of 1 Jan 2019</v>
      </c>
      <c r="C7" s="44" t="str">
        <f ca="1">IFERROR(OFFSET(INDEX('Data table'!$E$10:$BC$38,MATCH('Comparison of banks'!$D$4,'Data table'!$C$10:$C$38,0),MATCH('Comparison of banks'!C$5,'Data table'!$J$6:$O$6,0)),0,5),"")</f>
        <v/>
      </c>
      <c r="D7" s="44" t="str">
        <f ca="1">IFERROR(OFFSET(INDEX('Data table'!$E$10:$BC$38,MATCH('Comparison of banks'!$D$4,'Data table'!$C$10:$C$38,0),MATCH('Comparison of banks'!D$5,'Data table'!$J$6:$O$6,0)),0,5),"")</f>
        <v/>
      </c>
      <c r="E7" s="41" t="str">
        <f ca="1">IFERROR(OFFSET(INDEX('Data table'!$E$10:$BC$38,MATCH('Comparison of banks'!$D$4,'Data table'!$C$10:$C$38,0),MATCH('Comparison of banks'!E$5,'Data table'!$J$6:$O$6,0)),0,5),"")</f>
        <v/>
      </c>
      <c r="F7" s="41" t="str">
        <f ca="1">IFERROR(OFFSET(INDEX('Data table'!$E$10:$BC$38,MATCH('Comparison of banks'!$D$4,'Data table'!$C$10:$C$38,0),MATCH('Comparison of banks'!F$5,'Data table'!$J$6:$O$6,0)),0,5),"")</f>
        <v/>
      </c>
      <c r="G7" s="44" t="str">
        <f ca="1">IFERROR(OFFSET(INDEX('Data table'!$E$10:$BC$38,MATCH('Comparison of banks'!$H$4,'Data table'!$C$10:$C$38,0),MATCH('Comparison of banks'!G$5,'Data table'!$J$6:$O$6,0)),0,5),"")</f>
        <v/>
      </c>
      <c r="H7" s="44" t="str">
        <f ca="1">IFERROR(OFFSET(INDEX('Data table'!$E$10:$BC$38,MATCH('Comparison of banks'!$H$4,'Data table'!$C$10:$C$38,0),MATCH('Comparison of banks'!H$5,'Data table'!$J$6:$O$6,0)),0,5),"")</f>
        <v/>
      </c>
      <c r="I7" s="41" t="str">
        <f ca="1">IFERROR(OFFSET(INDEX('Data table'!$E$10:$BC$38,MATCH('Comparison of banks'!$H$4,'Data table'!$C$10:$C$38,0),MATCH('Comparison of banks'!I$5,'Data table'!$J$6:$O$6,0)),0,5),"")</f>
        <v/>
      </c>
      <c r="J7" s="41" t="str">
        <f ca="1">IFERROR(OFFSET(INDEX('Data table'!$E$10:$BC$38,MATCH('Comparison of banks'!$H$4,'Data table'!$C$10:$C$38,0),MATCH('Comparison of banks'!J$5,'Data table'!$J$6:$O$6,0)),0,5),"")</f>
        <v/>
      </c>
      <c r="K7" s="44" t="str">
        <f ca="1">IFERROR(OFFSET(INDEX('Data table'!$E$10:$BC$38,MATCH('Comparison of banks'!L$4,'Data table'!$C$10:$C$38,0),MATCH('Comparison of banks'!K$5,'Data table'!$J$6:$O$6,0)),0,5),"")</f>
        <v/>
      </c>
      <c r="L7" s="44" t="str">
        <f ca="1">IFERROR(OFFSET(INDEX('Data table'!$E$10:$BC$38,MATCH('Comparison of banks'!L$4,'Data table'!$C$10:$C$38,0),MATCH('Comparison of banks'!L$5,'Data table'!$J$6:$O$6,0)),0,5),"")</f>
        <v/>
      </c>
      <c r="M7" s="41" t="str">
        <f ca="1">IFERROR(OFFSET(INDEX('Data table'!$E$10:$BC$38,MATCH('Comparison of banks'!L$4,'Data table'!$C$10:$C$38,0),MATCH('Comparison of banks'!M$5,'Data table'!$J$6:$O$6,0)),0,5),"")</f>
        <v/>
      </c>
      <c r="N7" s="41" t="str">
        <f ca="1">IFERROR(OFFSET(INDEX('Data table'!$E$10:$BC$38,MATCH('Comparison of banks'!L$4,'Data table'!$C$10:$C$38,0),MATCH('Comparison of banks'!N$5,'Data table'!$J$6:$O$6,0)),0,5),"")</f>
        <v/>
      </c>
      <c r="O7" s="44" t="str">
        <f ca="1">IFERROR(OFFSET(INDEX('Data table'!$E$10:$BC$38,MATCH('Comparison of banks'!P$4,'Data table'!$C$10:$C$38,0),MATCH('Comparison of banks'!O$5,'Data table'!$J$6:$O$6,0)),0,5),"")</f>
        <v/>
      </c>
      <c r="P7" s="44" t="str">
        <f ca="1">IFERROR(OFFSET(INDEX('Data table'!$E$10:$BC$38,MATCH('Comparison of banks'!P$4,'Data table'!$C$10:$C$38,0),MATCH('Comparison of banks'!P$5,'Data table'!$J$6:$O$6,0)),0,5),"")</f>
        <v/>
      </c>
      <c r="Q7" s="41" t="str">
        <f ca="1">IFERROR(OFFSET(INDEX('Data table'!$E$10:$BC$38,MATCH('Comparison of banks'!P$4,'Data table'!$C$10:$C$38,0),MATCH('Comparison of banks'!Q$5,'Data table'!$J$6:$O$6,0)),0,5),"")</f>
        <v/>
      </c>
      <c r="R7" s="41" t="str">
        <f ca="1">IFERROR(OFFSET(INDEX('Data table'!$E$10:$BC$38,MATCH('Comparison of banks'!P$4,'Data table'!$C$10:$C$38,0),MATCH('Comparison of banks'!R$5,'Data table'!$J$6:$O$6,0)),0,5),"")</f>
        <v/>
      </c>
    </row>
    <row r="8" spans="2:19" ht="13.2" customHeight="1" x14ac:dyDescent="0.25">
      <c r="B8" s="80" t="str">
        <f>'Comparison with group'!B9</f>
        <v>Forecast year</v>
      </c>
      <c r="C8" s="179" t="str">
        <f>'Comparison with group'!C9:O9</f>
        <v>Baseline scenario</v>
      </c>
      <c r="D8" s="180"/>
      <c r="E8" s="180"/>
      <c r="F8" s="180"/>
      <c r="G8" s="180"/>
      <c r="H8" s="180"/>
      <c r="I8" s="180"/>
      <c r="J8" s="180"/>
      <c r="K8" s="180"/>
      <c r="L8" s="180"/>
      <c r="M8" s="180"/>
      <c r="N8" s="180"/>
      <c r="O8" s="180"/>
      <c r="P8" s="180"/>
      <c r="Q8" s="180"/>
      <c r="R8" s="181"/>
    </row>
    <row r="9" spans="2:19" x14ac:dyDescent="0.25">
      <c r="B9" s="72" t="str">
        <f>'Data table'!P7</f>
        <v>1st</v>
      </c>
      <c r="C9" s="44" t="str">
        <f ca="1">IFERROR(OFFSET(INDEX('Data table'!$E$10:$BC$38,MATCH('Comparison of banks'!$D$4,'Data table'!$C$10:$C$38,0),MATCH($B9,'Data table'!$P$7:$R$7,0)),0,11),"")</f>
        <v/>
      </c>
      <c r="D9" s="44" t="str">
        <f ca="1">IFERROR(OFFSET(INDEX('Data table'!$E$10:$BC$38,MATCH('Comparison of banks'!$D$4,'Data table'!$C$10:$C$38,0),MATCH($B9,'Data table'!$P$7:$R$7,0)),0,14),"")</f>
        <v/>
      </c>
      <c r="E9" s="41" t="str">
        <f ca="1">IFERROR(OFFSET(INDEX('Data table'!$E$10:$BC$38,MATCH('Comparison of banks'!$D$4,'Data table'!$C$10:$C$38,0),MATCH($B9,'Data table'!$P$7:$R$7,0)),0,17),"")</f>
        <v/>
      </c>
      <c r="F9" s="41" t="str">
        <f ca="1">IFERROR(OFFSET(INDEX('Data table'!$E$10:$BC$38,MATCH('Comparison of banks'!$D$4,'Data table'!$C$10:$C$38,0),MATCH($B9,'Data table'!$P$7:$R$7,0)),0,20),"")</f>
        <v/>
      </c>
      <c r="G9" s="44" t="str">
        <f ca="1">IFERROR(OFFSET(INDEX('Data table'!$E$10:$BC$38,MATCH('Comparison of banks'!$H$4,'Data table'!$C$10:$C$38,0),MATCH($B9,'Data table'!$P$7:$R$7,0)),0,11),"")</f>
        <v/>
      </c>
      <c r="H9" s="44" t="str">
        <f ca="1">IFERROR(OFFSET(INDEX('Data table'!$E$10:$BC$38,MATCH('Comparison of banks'!$H$4,'Data table'!$C$10:$C$38,0),MATCH($B9,'Data table'!$P$7:$R$7,0)),0,14),"")</f>
        <v/>
      </c>
      <c r="I9" s="41" t="str">
        <f ca="1">IFERROR(OFFSET(INDEX('Data table'!$E$10:$BC$38,MATCH('Comparison of banks'!$H$4,'Data table'!$C$10:$C$38,0),MATCH($B9,'Data table'!$P$7:$R$7,0)),0,17),"")</f>
        <v/>
      </c>
      <c r="J9" s="41" t="str">
        <f ca="1">IFERROR(OFFSET(INDEX('Data table'!$E$10:$BC$38,MATCH('Comparison of banks'!$H$4,'Data table'!$C$10:$C$38,0),MATCH($B9,'Data table'!$P$7:$R$7,0)),0,20),"")</f>
        <v/>
      </c>
      <c r="K9" s="44" t="str">
        <f ca="1">IFERROR(OFFSET(INDEX('Data table'!$E$10:$BC$38,MATCH('Comparison of banks'!L$4,'Data table'!$C$10:$C$38,0),MATCH($B9,'Data table'!$P$7:$R$7,0)),0,11),"")</f>
        <v/>
      </c>
      <c r="L9" s="44" t="str">
        <f ca="1">IFERROR(OFFSET(INDEX('Data table'!$E$10:$BC$38,MATCH('Comparison of banks'!L$4,'Data table'!$C$10:$C$38,0),MATCH($B9,'Data table'!$P$7:$R$7,0)),0,14),"")</f>
        <v/>
      </c>
      <c r="M9" s="41" t="str">
        <f ca="1">IFERROR(OFFSET(INDEX('Data table'!$E$10:$BC$38,MATCH('Comparison of banks'!L$4,'Data table'!$C$10:$C$38,0),MATCH($B9,'Data table'!$P$7:$R$7,0)),0,17),"")</f>
        <v/>
      </c>
      <c r="N9" s="41" t="str">
        <f ca="1">IFERROR(OFFSET(INDEX('Data table'!$E$10:$BC$38,MATCH('Comparison of banks'!L$4,'Data table'!$C$10:$C$38,0),MATCH($B9,'Data table'!$P$7:$R$7,0)),0,20),"")</f>
        <v/>
      </c>
      <c r="O9" s="44" t="str">
        <f ca="1">IFERROR(OFFSET(INDEX('Data table'!$E$10:$BC$38,MATCH('Comparison of banks'!P$4,'Data table'!$C$10:$C$38,0),MATCH($B9,'Data table'!$P$7:$R$7,0)),0,11),"")</f>
        <v/>
      </c>
      <c r="P9" s="44" t="str">
        <f ca="1">IFERROR(OFFSET(INDEX('Data table'!$E$10:$BC$38,MATCH('Comparison of banks'!P$4,'Data table'!$C$10:$C$38,0),MATCH($B9,'Data table'!$P$7:$R$7,0)),0,14),"")</f>
        <v/>
      </c>
      <c r="Q9" s="41" t="str">
        <f ca="1">IFERROR(OFFSET(INDEX('Data table'!$E$10:$BC$38,MATCH('Comparison of banks'!P$4,'Data table'!$C$10:$C$38,0),MATCH($B9,'Data table'!$P$7:$R$7,0)),0,17),"")</f>
        <v/>
      </c>
      <c r="R9" s="41" t="str">
        <f ca="1">IFERROR(OFFSET(INDEX('Data table'!$E$10:$BC$38,MATCH('Comparison of banks'!P$4,'Data table'!$C$10:$C$38,0),MATCH($B9,'Data table'!$P$7:$R$7,0)),0,20),"")</f>
        <v/>
      </c>
    </row>
    <row r="10" spans="2:19" x14ac:dyDescent="0.25">
      <c r="B10" s="72" t="str">
        <f>'Data table'!Q7</f>
        <v>2nd</v>
      </c>
      <c r="C10" s="44" t="str">
        <f ca="1">IFERROR(OFFSET(INDEX('Data table'!$E$10:$BC$38,MATCH('Comparison of banks'!$D$4,'Data table'!$C$10:$C$38,0),MATCH($B10,'Data table'!$P$7:$R$7,0)),0,11),"")</f>
        <v/>
      </c>
      <c r="D10" s="44" t="str">
        <f ca="1">IFERROR(OFFSET(INDEX('Data table'!$E$10:$BC$38,MATCH('Comparison of banks'!$D$4,'Data table'!$C$10:$C$38,0),MATCH($B10,'Data table'!$P$7:$R$7,0)),0,14),"")</f>
        <v/>
      </c>
      <c r="E10" s="41" t="str">
        <f ca="1">IFERROR(OFFSET(INDEX('Data table'!$E$10:$BC$38,MATCH('Comparison of banks'!$D$4,'Data table'!$C$10:$C$38,0),MATCH($B10,'Data table'!$P$7:$R$7,0)),0,17),"")</f>
        <v/>
      </c>
      <c r="F10" s="41" t="str">
        <f ca="1">IFERROR(OFFSET(INDEX('Data table'!$E$10:$BC$38,MATCH('Comparison of banks'!$D$4,'Data table'!$C$10:$C$38,0),MATCH($B10,'Data table'!$P$7:$R$7,0)),0,20),"")</f>
        <v/>
      </c>
      <c r="G10" s="44" t="str">
        <f ca="1">IFERROR(OFFSET(INDEX('Data table'!$E$10:$BC$38,MATCH('Comparison of banks'!$H$4,'Data table'!$C$10:$C$38,0),MATCH($B10,'Data table'!$P$7:$R$7,0)),0,11),"")</f>
        <v/>
      </c>
      <c r="H10" s="44" t="str">
        <f ca="1">IFERROR(OFFSET(INDEX('Data table'!$E$10:$BC$38,MATCH('Comparison of banks'!$H$4,'Data table'!$C$10:$C$38,0),MATCH($B10,'Data table'!$P$7:$R$7,0)),0,14),"")</f>
        <v/>
      </c>
      <c r="I10" s="41" t="str">
        <f ca="1">IFERROR(OFFSET(INDEX('Data table'!$E$10:$BC$38,MATCH('Comparison of banks'!$H$4,'Data table'!$C$10:$C$38,0),MATCH($B10,'Data table'!$P$7:$R$7,0)),0,17),"")</f>
        <v/>
      </c>
      <c r="J10" s="41" t="str">
        <f ca="1">IFERROR(OFFSET(INDEX('Data table'!$E$10:$BC$38,MATCH('Comparison of banks'!$H$4,'Data table'!$C$10:$C$38,0),MATCH($B10,'Data table'!$P$7:$R$7,0)),0,20),"")</f>
        <v/>
      </c>
      <c r="K10" s="44" t="str">
        <f ca="1">IFERROR(OFFSET(INDEX('Data table'!$E$10:$BC$38,MATCH('Comparison of banks'!L$4,'Data table'!$C$10:$C$38,0),MATCH($B10,'Data table'!$P$7:$R$7,0)),0,11),"")</f>
        <v/>
      </c>
      <c r="L10" s="44" t="str">
        <f ca="1">IFERROR(OFFSET(INDEX('Data table'!$E$10:$BC$38,MATCH('Comparison of banks'!L$4,'Data table'!$C$10:$C$38,0),MATCH($B10,'Data table'!$P$7:$R$7,0)),0,14),"")</f>
        <v/>
      </c>
      <c r="M10" s="41" t="str">
        <f ca="1">IFERROR(OFFSET(INDEX('Data table'!$E$10:$BC$38,MATCH('Comparison of banks'!L$4,'Data table'!$C$10:$C$38,0),MATCH($B10,'Data table'!$P$7:$R$7,0)),0,17),"")</f>
        <v/>
      </c>
      <c r="N10" s="41" t="str">
        <f ca="1">IFERROR(OFFSET(INDEX('Data table'!$E$10:$BC$38,MATCH('Comparison of banks'!L$4,'Data table'!$C$10:$C$38,0),MATCH($B10,'Data table'!$P$7:$R$7,0)),0,20),"")</f>
        <v/>
      </c>
      <c r="O10" s="44" t="str">
        <f ca="1">IFERROR(OFFSET(INDEX('Data table'!$E$10:$BC$38,MATCH('Comparison of banks'!P$4,'Data table'!$C$10:$C$38,0),MATCH($B10,'Data table'!$P$7:$R$7,0)),0,11),"")</f>
        <v/>
      </c>
      <c r="P10" s="44" t="str">
        <f ca="1">IFERROR(OFFSET(INDEX('Data table'!$E$10:$BC$38,MATCH('Comparison of banks'!P$4,'Data table'!$C$10:$C$38,0),MATCH($B10,'Data table'!$P$7:$R$7,0)),0,14),"")</f>
        <v/>
      </c>
      <c r="Q10" s="41" t="str">
        <f ca="1">IFERROR(OFFSET(INDEX('Data table'!$E$10:$BC$38,MATCH('Comparison of banks'!P$4,'Data table'!$C$10:$C$38,0),MATCH($B10,'Data table'!$P$7:$R$7,0)),0,17),"")</f>
        <v/>
      </c>
      <c r="R10" s="41" t="str">
        <f ca="1">IFERROR(OFFSET(INDEX('Data table'!$E$10:$BC$38,MATCH('Comparison of banks'!P$4,'Data table'!$C$10:$C$38,0),MATCH($B10,'Data table'!$P$7:$R$7,0)),0,20),"")</f>
        <v/>
      </c>
    </row>
    <row r="11" spans="2:19" x14ac:dyDescent="0.25">
      <c r="B11" s="72" t="str">
        <f>'Data table'!R7</f>
        <v>3rd</v>
      </c>
      <c r="C11" s="44" t="str">
        <f ca="1">IFERROR(OFFSET(INDEX('Data table'!$E$10:$BC$38,MATCH('Comparison of banks'!$D$4,'Data table'!$C$10:$C$38,0),MATCH($B11,'Data table'!$P$7:$R$7,0)),0,11),"")</f>
        <v/>
      </c>
      <c r="D11" s="44" t="str">
        <f ca="1">IFERROR(OFFSET(INDEX('Data table'!$E$10:$BC$38,MATCH('Comparison of banks'!$D$4,'Data table'!$C$10:$C$38,0),MATCH($B11,'Data table'!$P$7:$R$7,0)),0,14),"")</f>
        <v/>
      </c>
      <c r="E11" s="41" t="str">
        <f ca="1">IFERROR(OFFSET(INDEX('Data table'!$E$10:$BC$38,MATCH('Comparison of banks'!$D$4,'Data table'!$C$10:$C$38,0),MATCH($B11,'Data table'!$P$7:$R$7,0)),0,17),"")</f>
        <v/>
      </c>
      <c r="F11" s="41" t="str">
        <f ca="1">IFERROR(OFFSET(INDEX('Data table'!$E$10:$BC$38,MATCH('Comparison of banks'!$D$4,'Data table'!$C$10:$C$38,0),MATCH($B11,'Data table'!$P$7:$R$7,0)),0,20),"")</f>
        <v/>
      </c>
      <c r="G11" s="44" t="str">
        <f ca="1">IFERROR(OFFSET(INDEX('Data table'!$E$10:$BC$38,MATCH('Comparison of banks'!$H$4,'Data table'!$C$10:$C$38,0),MATCH($B11,'Data table'!$P$7:$R$7,0)),0,11),"")</f>
        <v/>
      </c>
      <c r="H11" s="44" t="str">
        <f ca="1">IFERROR(OFFSET(INDEX('Data table'!$E$10:$BC$38,MATCH('Comparison of banks'!$H$4,'Data table'!$C$10:$C$38,0),MATCH($B11,'Data table'!$P$7:$R$7,0)),0,14),"")</f>
        <v/>
      </c>
      <c r="I11" s="41" t="str">
        <f ca="1">IFERROR(OFFSET(INDEX('Data table'!$E$10:$BC$38,MATCH('Comparison of banks'!$H$4,'Data table'!$C$10:$C$38,0),MATCH($B11,'Data table'!$P$7:$R$7,0)),0,17),"")</f>
        <v/>
      </c>
      <c r="J11" s="41" t="str">
        <f ca="1">IFERROR(OFFSET(INDEX('Data table'!$E$10:$BC$38,MATCH('Comparison of banks'!$H$4,'Data table'!$C$10:$C$38,0),MATCH($B11,'Data table'!$P$7:$R$7,0)),0,20),"")</f>
        <v/>
      </c>
      <c r="K11" s="44" t="str">
        <f ca="1">IFERROR(OFFSET(INDEX('Data table'!$E$10:$BC$38,MATCH('Comparison of banks'!L$4,'Data table'!$C$10:$C$38,0),MATCH($B11,'Data table'!$P$7:$R$7,0)),0,11),"")</f>
        <v/>
      </c>
      <c r="L11" s="44" t="str">
        <f ca="1">IFERROR(OFFSET(INDEX('Data table'!$E$10:$BC$38,MATCH('Comparison of banks'!L$4,'Data table'!$C$10:$C$38,0),MATCH($B11,'Data table'!$P$7:$R$7,0)),0,14),"")</f>
        <v/>
      </c>
      <c r="M11" s="41" t="str">
        <f ca="1">IFERROR(OFFSET(INDEX('Data table'!$E$10:$BC$38,MATCH('Comparison of banks'!L$4,'Data table'!$C$10:$C$38,0),MATCH($B11,'Data table'!$P$7:$R$7,0)),0,17),"")</f>
        <v/>
      </c>
      <c r="N11" s="41" t="str">
        <f ca="1">IFERROR(OFFSET(INDEX('Data table'!$E$10:$BC$38,MATCH('Comparison of banks'!L$4,'Data table'!$C$10:$C$38,0),MATCH($B11,'Data table'!$P$7:$R$7,0)),0,20),"")</f>
        <v/>
      </c>
      <c r="O11" s="44" t="str">
        <f ca="1">IFERROR(OFFSET(INDEX('Data table'!$E$10:$BC$38,MATCH('Comparison of banks'!P$4,'Data table'!$C$10:$C$38,0),MATCH($B11,'Data table'!$P$7:$R$7,0)),0,11),"")</f>
        <v/>
      </c>
      <c r="P11" s="44" t="str">
        <f ca="1">IFERROR(OFFSET(INDEX('Data table'!$E$10:$BC$38,MATCH('Comparison of banks'!P$4,'Data table'!$C$10:$C$38,0),MATCH($B11,'Data table'!$P$7:$R$7,0)),0,14),"")</f>
        <v/>
      </c>
      <c r="Q11" s="41" t="str">
        <f ca="1">IFERROR(OFFSET(INDEX('Data table'!$E$10:$BC$38,MATCH('Comparison of banks'!P$4,'Data table'!$C$10:$C$38,0),MATCH($B11,'Data table'!$P$7:$R$7,0)),0,17),"")</f>
        <v/>
      </c>
      <c r="R11" s="41" t="str">
        <f ca="1">IFERROR(OFFSET(INDEX('Data table'!$E$10:$BC$38,MATCH('Comparison of banks'!P$4,'Data table'!$C$10:$C$38,0),MATCH($B11,'Data table'!$P$7:$R$7,0)),0,20),"")</f>
        <v/>
      </c>
    </row>
    <row r="12" spans="2:19" ht="13.2" customHeight="1" x14ac:dyDescent="0.25">
      <c r="B12" s="80" t="str">
        <f>B8</f>
        <v>Forecast year</v>
      </c>
      <c r="C12" s="179" t="str">
        <f>'Comparison with group'!C13:O13</f>
        <v>Adverse scenario</v>
      </c>
      <c r="D12" s="180"/>
      <c r="E12" s="180"/>
      <c r="F12" s="180"/>
      <c r="G12" s="180"/>
      <c r="H12" s="180"/>
      <c r="I12" s="180"/>
      <c r="J12" s="180"/>
      <c r="K12" s="180"/>
      <c r="L12" s="180"/>
      <c r="M12" s="180"/>
      <c r="N12" s="180"/>
      <c r="O12" s="180"/>
      <c r="P12" s="180"/>
      <c r="Q12" s="180"/>
      <c r="R12" s="181"/>
    </row>
    <row r="13" spans="2:19" ht="14.4" customHeight="1" x14ac:dyDescent="0.25">
      <c r="B13" s="72" t="str">
        <f>B9</f>
        <v>1st</v>
      </c>
      <c r="C13" s="55" t="str">
        <f ca="1">IFERROR(OFFSET(INDEX('Data table'!$E$10:$BC$38,MATCH('Comparison of banks'!$D$4,'Data table'!$C$10:$C$38,0),MATCH($B13,'Data table'!$P$7:$R$7,0)),0,26),"")</f>
        <v/>
      </c>
      <c r="D13" s="55" t="str">
        <f ca="1">IFERROR(OFFSET(INDEX('Data table'!$E$10:$BC$38,MATCH('Comparison of banks'!$D$4,'Data table'!$C$10:$C$38,0),MATCH($B13,'Data table'!$P$7:$R$7,0)),0,29),"")</f>
        <v/>
      </c>
      <c r="E13" s="41" t="str">
        <f ca="1">IFERROR(OFFSET(INDEX('Data table'!$E$10:$BC$38,MATCH('Comparison of banks'!$D$4,'Data table'!$C$10:$C$38,0),MATCH($B13,'Data table'!$P$7:$R$7,0)),0,32),"")</f>
        <v/>
      </c>
      <c r="F13" s="41" t="str">
        <f ca="1">IFERROR(OFFSET(INDEX('Data table'!$E$10:$BC$38,MATCH('Comparison of banks'!$D$4,'Data table'!$C$10:$C$38,0),MATCH($B13,'Data table'!$P$7:$R$7,0)),0,35),"")</f>
        <v/>
      </c>
      <c r="G13" s="55" t="str">
        <f ca="1">IFERROR(OFFSET(INDEX('Data table'!$E$10:$BC$38,MATCH('Comparison of banks'!$H$4,'Data table'!$C$10:$C$38,0),MATCH($B13,'Data table'!$P$7:$R$7,0)),0,26),"")</f>
        <v/>
      </c>
      <c r="H13" s="55" t="str">
        <f ca="1">IFERROR(OFFSET(INDEX('Data table'!$E$10:$BC$38,MATCH('Comparison of banks'!$H$4,'Data table'!$C$10:$C$38,0),MATCH($B13,'Data table'!$P$7:$R$7,0)),0,29),"")</f>
        <v/>
      </c>
      <c r="I13" s="41" t="str">
        <f ca="1">IFERROR(OFFSET(INDEX('Data table'!$E$10:$BC$38,MATCH('Comparison of banks'!$H$4,'Data table'!$C$10:$C$38,0),MATCH($B13,'Data table'!$P$7:$R$7,0)),0,32),"")</f>
        <v/>
      </c>
      <c r="J13" s="41" t="str">
        <f ca="1">IFERROR(OFFSET(INDEX('Data table'!$E$10:$BC$38,MATCH('Comparison of banks'!$H$4,'Data table'!$C$10:$C$38,0),MATCH($B13,'Data table'!$P$7:$R$7,0)),0,35),"")</f>
        <v/>
      </c>
      <c r="K13" s="55" t="str">
        <f ca="1">IFERROR(OFFSET(INDEX('Data table'!$E$10:$BC$38,MATCH('Comparison of banks'!$L$4,'Data table'!$C$10:$C$38,0),MATCH($B13,'Data table'!$P$7:$R$7,0)),0,26),"")</f>
        <v/>
      </c>
      <c r="L13" s="55" t="str">
        <f ca="1">IFERROR(OFFSET(INDEX('Data table'!$E$10:$BC$38,MATCH('Comparison of banks'!$L$4,'Data table'!$C$10:$C$38,0),MATCH($B13,'Data table'!$P$7:$R$7,0)),0,29),"")</f>
        <v/>
      </c>
      <c r="M13" s="41" t="str">
        <f ca="1">IFERROR(OFFSET(INDEX('Data table'!$E$10:$BC$38,MATCH('Comparison of banks'!$L$4,'Data table'!$C$10:$C$38,0),MATCH($B13,'Data table'!$P$7:$R$7,0)),0,32),"")</f>
        <v/>
      </c>
      <c r="N13" s="41" t="str">
        <f ca="1">IFERROR(OFFSET(INDEX('Data table'!$E$10:$BC$38,MATCH('Comparison of banks'!$L$4,'Data table'!$C$10:$C$38,0),MATCH($B13,'Data table'!$P$7:$R$7,0)),0,35),"")</f>
        <v/>
      </c>
      <c r="O13" s="55" t="str">
        <f ca="1">IFERROR(OFFSET(INDEX('Data table'!$E$10:$BC$38,MATCH('Comparison of banks'!$P$4,'Data table'!$C$10:$C$38,0),MATCH($B13,'Data table'!$P$7:$R$7,0)),0,26),"")</f>
        <v/>
      </c>
      <c r="P13" s="55" t="str">
        <f ca="1">IFERROR(OFFSET(INDEX('Data table'!$E$10:$BC$38,MATCH('Comparison of banks'!$P$4,'Data table'!$C$10:$C$38,0),MATCH($B13,'Data table'!$P$7:$R$7,0)),0,29),"")</f>
        <v/>
      </c>
      <c r="Q13" s="41" t="str">
        <f ca="1">IFERROR(OFFSET(INDEX('Data table'!$E$10:$BC$38,MATCH('Comparison of banks'!$P$4,'Data table'!$C$10:$C$38,0),MATCH($B13,'Data table'!$P$7:$R$7,0)),0,32),"")</f>
        <v/>
      </c>
      <c r="R13" s="41" t="str">
        <f ca="1">IFERROR(OFFSET(INDEX('Data table'!$E$10:$BC$38,MATCH('Comparison of banks'!$P$4,'Data table'!$C$10:$C$38,0),MATCH($B13,'Data table'!$P$7:$R$7,0)),0,35),"")</f>
        <v/>
      </c>
    </row>
    <row r="14" spans="2:19" x14ac:dyDescent="0.25">
      <c r="B14" s="72" t="str">
        <f t="shared" ref="B14:B15" si="3">B10</f>
        <v>2nd</v>
      </c>
      <c r="C14" s="55" t="str">
        <f ca="1">IFERROR(OFFSET(INDEX('Data table'!$E$10:$BC$38,MATCH('Comparison of banks'!$D$4,'Data table'!$C$10:$C$38,0),MATCH($B14,'Data table'!$P$7:$R$7,0)),0,26),"")</f>
        <v/>
      </c>
      <c r="D14" s="55" t="str">
        <f ca="1">IFERROR(OFFSET(INDEX('Data table'!$E$10:$BC$38,MATCH('Comparison of banks'!$D$4,'Data table'!$C$10:$C$38,0),MATCH($B14,'Data table'!$P$7:$R$7,0)),0,29),"")</f>
        <v/>
      </c>
      <c r="E14" s="41" t="str">
        <f ca="1">IFERROR(OFFSET(INDEX('Data table'!$E$10:$BC$38,MATCH('Comparison of banks'!$D$4,'Data table'!$C$10:$C$38,0),MATCH($B14,'Data table'!$P$7:$R$7,0)),0,32),"")</f>
        <v/>
      </c>
      <c r="F14" s="41" t="str">
        <f ca="1">IFERROR(OFFSET(INDEX('Data table'!$E$10:$BC$38,MATCH('Comparison of banks'!$D$4,'Data table'!$C$10:$C$38,0),MATCH($B14,'Data table'!$P$7:$R$7,0)),0,35),"")</f>
        <v/>
      </c>
      <c r="G14" s="55" t="str">
        <f ca="1">IFERROR(OFFSET(INDEX('Data table'!$E$10:$BC$38,MATCH('Comparison of banks'!$H$4,'Data table'!$C$10:$C$38,0),MATCH($B14,'Data table'!$P$7:$R$7,0)),0,26),"")</f>
        <v/>
      </c>
      <c r="H14" s="55" t="str">
        <f ca="1">IFERROR(OFFSET(INDEX('Data table'!$E$10:$BC$38,MATCH('Comparison of banks'!$H$4,'Data table'!$C$10:$C$38,0),MATCH($B14,'Data table'!$P$7:$R$7,0)),0,29),"")</f>
        <v/>
      </c>
      <c r="I14" s="41" t="str">
        <f ca="1">IFERROR(OFFSET(INDEX('Data table'!$E$10:$BC$38,MATCH('Comparison of banks'!$H$4,'Data table'!$C$10:$C$38,0),MATCH($B14,'Data table'!$P$7:$R$7,0)),0,32),"")</f>
        <v/>
      </c>
      <c r="J14" s="41" t="str">
        <f ca="1">IFERROR(OFFSET(INDEX('Data table'!$E$10:$BC$38,MATCH('Comparison of banks'!$H$4,'Data table'!$C$10:$C$38,0),MATCH($B14,'Data table'!$P$7:$R$7,0)),0,35),"")</f>
        <v/>
      </c>
      <c r="K14" s="55" t="str">
        <f ca="1">IFERROR(OFFSET(INDEX('Data table'!$E$10:$BC$38,MATCH('Comparison of banks'!$L$4,'Data table'!$C$10:$C$38,0),MATCH($B14,'Data table'!$P$7:$R$7,0)),0,26),"")</f>
        <v/>
      </c>
      <c r="L14" s="55" t="str">
        <f ca="1">IFERROR(OFFSET(INDEX('Data table'!$E$10:$BC$38,MATCH('Comparison of banks'!$L$4,'Data table'!$C$10:$C$38,0),MATCH($B14,'Data table'!$P$7:$R$7,0)),0,29),"")</f>
        <v/>
      </c>
      <c r="M14" s="41" t="str">
        <f ca="1">IFERROR(OFFSET(INDEX('Data table'!$E$10:$BC$38,MATCH('Comparison of banks'!$L$4,'Data table'!$C$10:$C$38,0),MATCH($B14,'Data table'!$P$7:$R$7,0)),0,32),"")</f>
        <v/>
      </c>
      <c r="N14" s="41" t="str">
        <f ca="1">IFERROR(OFFSET(INDEX('Data table'!$E$10:$BC$38,MATCH('Comparison of banks'!$L$4,'Data table'!$C$10:$C$38,0),MATCH($B14,'Data table'!$P$7:$R$7,0)),0,35),"")</f>
        <v/>
      </c>
      <c r="O14" s="55" t="str">
        <f ca="1">IFERROR(OFFSET(INDEX('Data table'!$E$10:$BC$38,MATCH('Comparison of banks'!$P$4,'Data table'!$C$10:$C$38,0),MATCH($B14,'Data table'!$P$7:$R$7,0)),0,26),"")</f>
        <v/>
      </c>
      <c r="P14" s="55" t="str">
        <f ca="1">IFERROR(OFFSET(INDEX('Data table'!$E$10:$BC$38,MATCH('Comparison of banks'!$P$4,'Data table'!$C$10:$C$38,0),MATCH($B14,'Data table'!$P$7:$R$7,0)),0,29),"")</f>
        <v/>
      </c>
      <c r="Q14" s="41" t="str">
        <f ca="1">IFERROR(OFFSET(INDEX('Data table'!$E$10:$BC$38,MATCH('Comparison of banks'!$P$4,'Data table'!$C$10:$C$38,0),MATCH($B14,'Data table'!$P$7:$R$7,0)),0,32),"")</f>
        <v/>
      </c>
      <c r="R14" s="41" t="str">
        <f ca="1">IFERROR(OFFSET(INDEX('Data table'!$E$10:$BC$38,MATCH('Comparison of banks'!$P$4,'Data table'!$C$10:$C$38,0),MATCH($B14,'Data table'!$P$7:$R$7,0)),0,35),"")</f>
        <v/>
      </c>
    </row>
    <row r="15" spans="2:19" x14ac:dyDescent="0.25">
      <c r="B15" s="72" t="str">
        <f t="shared" si="3"/>
        <v>3rd</v>
      </c>
      <c r="C15" s="55" t="str">
        <f ca="1">IFERROR(OFFSET(INDEX('Data table'!$E$10:$BC$38,MATCH('Comparison of banks'!$D$4,'Data table'!$C$10:$C$38,0),MATCH($B15,'Data table'!$P$7:$R$7,0)),0,26),"")</f>
        <v/>
      </c>
      <c r="D15" s="55" t="str">
        <f ca="1">IFERROR(OFFSET(INDEX('Data table'!$E$10:$BC$38,MATCH('Comparison of banks'!$D$4,'Data table'!$C$10:$C$38,0),MATCH($B15,'Data table'!$P$7:$R$7,0)),0,29),"")</f>
        <v/>
      </c>
      <c r="E15" s="41" t="str">
        <f ca="1">IFERROR(OFFSET(INDEX('Data table'!$E$10:$BC$38,MATCH('Comparison of banks'!$D$4,'Data table'!$C$10:$C$38,0),MATCH($B15,'Data table'!$P$7:$R$7,0)),0,32),"")</f>
        <v/>
      </c>
      <c r="F15" s="41" t="str">
        <f ca="1">IFERROR(OFFSET(INDEX('Data table'!$E$10:$BC$38,MATCH('Comparison of banks'!$D$4,'Data table'!$C$10:$C$38,0),MATCH($B15,'Data table'!$P$7:$R$7,0)),0,35),"")</f>
        <v/>
      </c>
      <c r="G15" s="55" t="str">
        <f ca="1">IFERROR(OFFSET(INDEX('Data table'!$E$10:$BC$38,MATCH('Comparison of banks'!$H$4,'Data table'!$C$10:$C$38,0),MATCH($B15,'Data table'!$P$7:$R$7,0)),0,26),"")</f>
        <v/>
      </c>
      <c r="H15" s="55" t="str">
        <f ca="1">IFERROR(OFFSET(INDEX('Data table'!$E$10:$BC$38,MATCH('Comparison of banks'!$H$4,'Data table'!$C$10:$C$38,0),MATCH($B15,'Data table'!$P$7:$R$7,0)),0,29),"")</f>
        <v/>
      </c>
      <c r="I15" s="41" t="str">
        <f ca="1">IFERROR(OFFSET(INDEX('Data table'!$E$10:$BC$38,MATCH('Comparison of banks'!$H$4,'Data table'!$C$10:$C$38,0),MATCH($B15,'Data table'!$P$7:$R$7,0)),0,32),"")</f>
        <v/>
      </c>
      <c r="J15" s="41" t="str">
        <f ca="1">IFERROR(OFFSET(INDEX('Data table'!$E$10:$BC$38,MATCH('Comparison of banks'!$H$4,'Data table'!$C$10:$C$38,0),MATCH($B15,'Data table'!$P$7:$R$7,0)),0,35),"")</f>
        <v/>
      </c>
      <c r="K15" s="55" t="str">
        <f ca="1">IFERROR(OFFSET(INDEX('Data table'!$E$10:$BC$38,MATCH('Comparison of banks'!$L$4,'Data table'!$C$10:$C$38,0),MATCH($B15,'Data table'!$P$7:$R$7,0)),0,26),"")</f>
        <v/>
      </c>
      <c r="L15" s="55" t="str">
        <f ca="1">IFERROR(OFFSET(INDEX('Data table'!$E$10:$BC$38,MATCH('Comparison of banks'!$L$4,'Data table'!$C$10:$C$38,0),MATCH($B15,'Data table'!$P$7:$R$7,0)),0,29),"")</f>
        <v/>
      </c>
      <c r="M15" s="41" t="str">
        <f ca="1">IFERROR(OFFSET(INDEX('Data table'!$E$10:$BC$38,MATCH('Comparison of banks'!$L$4,'Data table'!$C$10:$C$38,0),MATCH($B15,'Data table'!$P$7:$R$7,0)),0,32),"")</f>
        <v/>
      </c>
      <c r="N15" s="41" t="str">
        <f ca="1">IFERROR(OFFSET(INDEX('Data table'!$E$10:$BC$38,MATCH('Comparison of banks'!$L$4,'Data table'!$C$10:$C$38,0),MATCH($B15,'Data table'!$P$7:$R$7,0)),0,35),"")</f>
        <v/>
      </c>
      <c r="O15" s="55" t="str">
        <f ca="1">IFERROR(OFFSET(INDEX('Data table'!$E$10:$BC$38,MATCH('Comparison of banks'!$P$4,'Data table'!$C$10:$C$38,0),MATCH($B15,'Data table'!$P$7:$R$7,0)),0,26),"")</f>
        <v/>
      </c>
      <c r="P15" s="55" t="str">
        <f ca="1">IFERROR(OFFSET(INDEX('Data table'!$E$10:$BC$38,MATCH('Comparison of banks'!$P$4,'Data table'!$C$10:$C$38,0),MATCH($B15,'Data table'!$P$7:$R$7,0)),0,29),"")</f>
        <v/>
      </c>
      <c r="Q15" s="41" t="str">
        <f ca="1">IFERROR(OFFSET(INDEX('Data table'!$E$10:$BC$38,MATCH('Comparison of banks'!$P$4,'Data table'!$C$10:$C$38,0),MATCH($B15,'Data table'!$P$7:$R$7,0)),0,32),"")</f>
        <v/>
      </c>
      <c r="R15" s="41" t="str">
        <f ca="1">IFERROR(OFFSET(INDEX('Data table'!$E$10:$BC$38,MATCH('Comparison of banks'!$P$4,'Data table'!$C$10:$C$38,0),MATCH($B15,'Data table'!$P$7:$R$7,0)),0,35),"")</f>
        <v/>
      </c>
    </row>
    <row r="16" spans="2:19" ht="12" customHeight="1" x14ac:dyDescent="0.25">
      <c r="B16" s="94" t="str">
        <f>'Individual banks'!$B$13</f>
        <v>AQR – data of asset quality review and collateral eligibility assessment for bank lending, including adjustments in the bank’s financial statements for the reporting year and extrapolation</v>
      </c>
      <c r="C16" s="79"/>
      <c r="D16" s="79"/>
      <c r="E16" s="35"/>
      <c r="F16" s="35"/>
      <c r="G16" s="59"/>
      <c r="H16" s="59"/>
      <c r="I16" s="35"/>
      <c r="J16" s="35"/>
      <c r="K16" s="59"/>
      <c r="L16" s="59"/>
      <c r="M16" s="35"/>
      <c r="N16" s="35"/>
      <c r="O16" s="59"/>
      <c r="P16" s="59"/>
      <c r="Q16" s="35"/>
      <c r="R16" s="35"/>
    </row>
    <row r="17" spans="2:18" ht="11.4" customHeight="1" x14ac:dyDescent="0.25">
      <c r="B17" s="94" t="str">
        <f>IF($R$1="ENG","","ОК - основний капітал, РК - регулятивний капітал, Н2 - норматив адекватності регулятивного капіталу, Н3 - норматив адекватності основного капіталу.")</f>
        <v/>
      </c>
      <c r="C17" s="79"/>
      <c r="D17" s="79"/>
      <c r="E17" s="35"/>
      <c r="J17" s="35"/>
      <c r="K17" s="59"/>
      <c r="L17" s="59"/>
      <c r="M17" s="35"/>
      <c r="N17" s="35"/>
      <c r="O17" s="59"/>
      <c r="P17" s="59"/>
      <c r="Q17" s="35"/>
      <c r="R17" s="35"/>
    </row>
    <row r="18" spans="2:18" ht="23.4" customHeight="1" x14ac:dyDescent="0.25">
      <c r="B18" s="183" t="str">
        <f>IFERROR(IF(OR(COUNTIF($C$4:$R$4,"Альфа-Банк**")&gt;0,COUNTIF($C$4:$R$4,"Укрсоцбанк**")&gt;0,COUNTIF($C$4:$R$4,"Alfa-Bank**")&gt;0,COUNTIF($C$4:$R$4,"Ukrsotsbank**")&gt;0),'Data table'!$A$44,""),"")</f>
        <v/>
      </c>
      <c r="C18" s="183"/>
      <c r="D18" s="183"/>
      <c r="E18" s="183"/>
      <c r="F18" s="183"/>
      <c r="G18" s="183"/>
      <c r="H18" s="183"/>
      <c r="I18" s="183"/>
      <c r="J18" s="183"/>
      <c r="K18" s="183"/>
      <c r="L18" s="183"/>
      <c r="M18" s="183"/>
      <c r="N18" s="183"/>
      <c r="O18" s="183"/>
      <c r="P18" s="183"/>
      <c r="Q18" s="183"/>
      <c r="R18" s="183"/>
    </row>
    <row r="19" spans="2:18" ht="13.2" customHeight="1" x14ac:dyDescent="0.25">
      <c r="C19" s="178" t="str">
        <f>IF($R$1="ENG","Core capital under baseline scenario,
UAH mln","Основний капітал за базовим сценарієм, 
млн грн")</f>
        <v>Core capital under baseline scenario,
UAH mln</v>
      </c>
      <c r="D19" s="178"/>
      <c r="E19" s="178"/>
      <c r="F19" s="178"/>
      <c r="G19" s="178" t="str">
        <f>IF($R$1="ENG","Core capital ratio under baseline scenario","Норматив достатності основного капіталу Н3 за базовим сценарієм")</f>
        <v>Core capital ratio under baseline scenario</v>
      </c>
      <c r="H19" s="178"/>
      <c r="I19" s="178"/>
      <c r="J19" s="178"/>
      <c r="K19" s="178" t="str">
        <f>IF($R$1="ENG","Core capital under adverse scenario,
UAH mln","Основний капітал за несприятливим
сценарієм, млн грн")</f>
        <v>Core capital under adverse scenario,
UAH mln</v>
      </c>
      <c r="L19" s="178"/>
      <c r="M19" s="178"/>
      <c r="N19" s="178"/>
      <c r="O19" s="178" t="str">
        <f>IF($R$1="ENG","Core capital ratio under adverse scenario","Норматив достатності основного капіталу Н3 за несприятливим сценарієм")</f>
        <v>Core capital ratio under adverse scenario</v>
      </c>
      <c r="P19" s="178"/>
      <c r="Q19" s="178"/>
      <c r="R19" s="178"/>
    </row>
    <row r="20" spans="2:18" x14ac:dyDescent="0.25">
      <c r="B20" s="61"/>
      <c r="C20" s="178"/>
      <c r="D20" s="178"/>
      <c r="E20" s="178"/>
      <c r="F20" s="178"/>
      <c r="G20" s="178"/>
      <c r="H20" s="178"/>
      <c r="I20" s="178"/>
      <c r="J20" s="178"/>
      <c r="K20" s="178"/>
      <c r="L20" s="178"/>
      <c r="M20" s="178"/>
      <c r="N20" s="178"/>
      <c r="O20" s="178"/>
      <c r="P20" s="178"/>
      <c r="Q20" s="178"/>
      <c r="R20" s="178"/>
    </row>
  </sheetData>
  <mergeCells count="8">
    <mergeCell ref="G19:J20"/>
    <mergeCell ref="B4:B5"/>
    <mergeCell ref="O19:R20"/>
    <mergeCell ref="K19:N20"/>
    <mergeCell ref="C12:R12"/>
    <mergeCell ref="C8:R8"/>
    <mergeCell ref="C19:F20"/>
    <mergeCell ref="B18:R18"/>
  </mergeCells>
  <pageMargins left="0.7" right="0.7" top="0.75" bottom="0.75" header="0.3" footer="0.3"/>
  <pageSetup paperSize="9" orientation="portrait" r:id="rId1"/>
  <ignoredErrors>
    <ignoredError sqref="E4:F4 I4:J4 M4:N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312420</xdr:colOff>
                    <xdr:row>3</xdr:row>
                    <xdr:rowOff>45720</xdr:rowOff>
                  </from>
                  <to>
                    <xdr:col>5</xdr:col>
                    <xdr:colOff>426720</xdr:colOff>
                    <xdr:row>3</xdr:row>
                    <xdr:rowOff>266700</xdr:rowOff>
                  </to>
                </anchor>
              </controlPr>
            </control>
          </mc:Choice>
        </mc:AlternateContent>
        <mc:AlternateContent xmlns:mc="http://schemas.openxmlformats.org/markup-compatibility/2006">
          <mc:Choice Requires="x14">
            <control shapeId="6147" r:id="rId5" name="Drop Down 3">
              <controlPr defaultSize="0" autoLine="0" autoPict="0">
                <anchor moveWithCells="1">
                  <from>
                    <xdr:col>6</xdr:col>
                    <xdr:colOff>335280</xdr:colOff>
                    <xdr:row>3</xdr:row>
                    <xdr:rowOff>38100</xdr:rowOff>
                  </from>
                  <to>
                    <xdr:col>9</xdr:col>
                    <xdr:colOff>411480</xdr:colOff>
                    <xdr:row>3</xdr:row>
                    <xdr:rowOff>259080</xdr:rowOff>
                  </to>
                </anchor>
              </controlPr>
            </control>
          </mc:Choice>
        </mc:AlternateContent>
        <mc:AlternateContent xmlns:mc="http://schemas.openxmlformats.org/markup-compatibility/2006">
          <mc:Choice Requires="x14">
            <control shapeId="6148" r:id="rId6" name="Drop Down 4">
              <controlPr defaultSize="0" autoLine="0" autoPict="0">
                <anchor moveWithCells="1">
                  <from>
                    <xdr:col>10</xdr:col>
                    <xdr:colOff>335280</xdr:colOff>
                    <xdr:row>3</xdr:row>
                    <xdr:rowOff>45720</xdr:rowOff>
                  </from>
                  <to>
                    <xdr:col>13</xdr:col>
                    <xdr:colOff>518160</xdr:colOff>
                    <xdr:row>3</xdr:row>
                    <xdr:rowOff>274320</xdr:rowOff>
                  </to>
                </anchor>
              </controlPr>
            </control>
          </mc:Choice>
        </mc:AlternateContent>
        <mc:AlternateContent xmlns:mc="http://schemas.openxmlformats.org/markup-compatibility/2006">
          <mc:Choice Requires="x14">
            <control shapeId="6150" r:id="rId7" name="Drop Down 6">
              <controlPr defaultSize="0" autoLine="0" autoPict="0">
                <anchor moveWithCells="1">
                  <from>
                    <xdr:col>14</xdr:col>
                    <xdr:colOff>304800</xdr:colOff>
                    <xdr:row>3</xdr:row>
                    <xdr:rowOff>38100</xdr:rowOff>
                  </from>
                  <to>
                    <xdr:col>17</xdr:col>
                    <xdr:colOff>411480</xdr:colOff>
                    <xdr:row>3</xdr:row>
                    <xdr:rowOff>266700</xdr:rowOff>
                  </to>
                </anchor>
              </controlPr>
            </control>
          </mc:Choice>
        </mc:AlternateContent>
        <mc:AlternateContent xmlns:mc="http://schemas.openxmlformats.org/markup-compatibility/2006">
          <mc:Choice Requires="x14">
            <control shapeId="6151" r:id="rId8" name="Drop Down 7">
              <controlPr defaultSize="0" autoLine="0" autoPict="0">
                <anchor moveWithCells="1">
                  <from>
                    <xdr:col>16</xdr:col>
                    <xdr:colOff>502920</xdr:colOff>
                    <xdr:row>0</xdr:row>
                    <xdr:rowOff>0</xdr:rowOff>
                  </from>
                  <to>
                    <xdr:col>18</xdr:col>
                    <xdr:colOff>7620</xdr:colOff>
                    <xdr:row>1</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1"/>
  <sheetViews>
    <sheetView zoomScale="90" zoomScaleNormal="90" workbookViewId="0">
      <selection activeCell="B16" sqref="B16"/>
    </sheetView>
  </sheetViews>
  <sheetFormatPr defaultColWidth="8.88671875" defaultRowHeight="13.2" x14ac:dyDescent="0.25"/>
  <cols>
    <col min="1" max="1" width="3.6640625" style="29" customWidth="1"/>
    <col min="2" max="2" width="25.33203125" style="29" customWidth="1"/>
    <col min="3" max="3" width="25.77734375" style="29" customWidth="1"/>
    <col min="4" max="4" width="22.21875" style="29" customWidth="1"/>
    <col min="5" max="5" width="6.6640625" style="29" customWidth="1"/>
    <col min="6" max="6" width="18.6640625" style="29" customWidth="1"/>
    <col min="7" max="7" width="15.109375" style="29" customWidth="1"/>
    <col min="8" max="8" width="9.33203125" style="29" customWidth="1"/>
    <col min="9" max="9" width="6.6640625" style="29" customWidth="1"/>
    <col min="10" max="10" width="18.6640625" style="29" customWidth="1"/>
    <col min="11" max="11" width="6.6640625" style="29" customWidth="1"/>
    <col min="12" max="12" width="20" style="29" customWidth="1"/>
    <col min="13" max="13" width="22.33203125" style="29" customWidth="1"/>
    <col min="14" max="16384" width="8.88671875" style="29"/>
  </cols>
  <sheetData>
    <row r="1" spans="1:16" x14ac:dyDescent="0.25">
      <c r="L1" s="69"/>
      <c r="M1" s="93" t="str">
        <f>'Individual banks'!K1</f>
        <v>ENG</v>
      </c>
      <c r="N1" s="99" t="str">
        <f>IF($M$1="ENG","Змінити мову тут","Change language here")</f>
        <v>Змінити мову тут</v>
      </c>
    </row>
    <row r="2" spans="1:16" x14ac:dyDescent="0.25">
      <c r="B2" s="33" t="str">
        <f>IF($M$1="ENG","Capital requirements based on stress test results","Вимоги до капіталу за результатами стрес-тестування")</f>
        <v>Capital requirements based on stress test results</v>
      </c>
      <c r="E2" s="30"/>
      <c r="H2" s="34"/>
      <c r="I2" s="34"/>
      <c r="J2" s="34"/>
      <c r="K2" s="34"/>
      <c r="L2" s="34"/>
      <c r="M2" s="34"/>
    </row>
    <row r="3" spans="1:16" x14ac:dyDescent="0.25">
      <c r="F3" s="62"/>
      <c r="G3" s="62"/>
      <c r="H3" s="62"/>
      <c r="I3" s="62"/>
      <c r="J3" s="62"/>
      <c r="K3" s="62"/>
      <c r="M3" s="63" t="str">
        <f>IF($M$1="ENG","(UAH mln)","(млн грн)")</f>
        <v>(UAH mln)</v>
      </c>
      <c r="N3" s="34"/>
    </row>
    <row r="4" spans="1:16" ht="38.4" customHeight="1" x14ac:dyDescent="0.25">
      <c r="B4" s="34"/>
      <c r="C4" s="34"/>
      <c r="D4" s="34"/>
      <c r="E4" s="125">
        <v>30</v>
      </c>
      <c r="F4" s="123" t="e">
        <f>INDEX('Data table'!$C$10:$C$38,E4,1)</f>
        <v>#REF!</v>
      </c>
      <c r="G4" s="124">
        <v>30</v>
      </c>
      <c r="H4" s="123" t="e">
        <f>INDEX('Data table'!$C$10:$C$38,G4,1)</f>
        <v>#REF!</v>
      </c>
      <c r="I4" s="124">
        <v>30</v>
      </c>
      <c r="J4" s="123" t="e">
        <f>INDEX('Data table'!$C$10:$C$38,I4,1)</f>
        <v>#REF!</v>
      </c>
      <c r="K4" s="124">
        <v>30</v>
      </c>
      <c r="L4" s="129" t="e">
        <f>INDEX('Data table'!$C$10:$C$38,K4,1)</f>
        <v>#REF!</v>
      </c>
      <c r="M4" s="117" t="str">
        <f>IF($M$1="ENG","All banks under stress test","Усього за банками, що проходили стрес-тестування")</f>
        <v>All banks under stress test</v>
      </c>
      <c r="N4" s="34"/>
      <c r="O4" s="34"/>
    </row>
    <row r="5" spans="1:16" ht="14.4" customHeight="1" x14ac:dyDescent="0.25">
      <c r="A5" s="34"/>
      <c r="B5" s="170" t="str">
        <f>IF($M$1="ENG","Required (target) capital adequacy level","Необхідний (цільовий) рівень нормативів")</f>
        <v>Required (target) capital adequacy level</v>
      </c>
      <c r="C5" s="170" t="str">
        <f>IF($M$1="ENG","stress test results","за результатами стрес-тестування")</f>
        <v>stress test results</v>
      </c>
      <c r="D5" s="122" t="str">
        <f>IF($M$1="ENG","CAR","Н2")</f>
        <v>CAR</v>
      </c>
      <c r="E5" s="184" t="str">
        <f>IFERROR(INDEX('Data table'!$AT$10:$AT$38,MATCH(F$4,'Data table'!$C$10:$C$38,0),1),"")</f>
        <v/>
      </c>
      <c r="F5" s="185"/>
      <c r="G5" s="184" t="str">
        <f>IFERROR(INDEX('Data table'!$AT$10:$AT$38,MATCH(H$4,'Data table'!$C$10:$C$38,0),1),"")</f>
        <v/>
      </c>
      <c r="H5" s="185"/>
      <c r="I5" s="184" t="str">
        <f>IFERROR(INDEX('Data table'!$AT$10:$AT$38,MATCH(J$4,'Data table'!$C$10:$C$38,0),1),"")</f>
        <v/>
      </c>
      <c r="J5" s="185"/>
      <c r="K5" s="184" t="str">
        <f>IFERROR(INDEX('Data table'!$AT$10:$AT$38,MATCH(L$4,'Data table'!$C$10:$C$38,0),1),"")</f>
        <v/>
      </c>
      <c r="L5" s="185"/>
      <c r="M5" s="115">
        <f>SUMPRODUCT('Data table'!$O$10:$O$38,'Data table'!$AT$10:$AT$38)/SUM('Data table'!$O$10:$O$38)</f>
        <v>0.20584198586127869</v>
      </c>
    </row>
    <row r="6" spans="1:16" ht="13.2" customHeight="1" x14ac:dyDescent="0.25">
      <c r="A6" s="34"/>
      <c r="B6" s="171"/>
      <c r="C6" s="172"/>
      <c r="D6" s="121" t="str">
        <f>IF($M$1="ENG","Core capital ratio","Н3")</f>
        <v>Core capital ratio</v>
      </c>
      <c r="E6" s="184" t="str">
        <f>IFERROR(INDEX('Data table'!$AU$10:$AU$38,MATCH(F$4,'Data table'!$C$10:$C$38,0),1),"")</f>
        <v/>
      </c>
      <c r="F6" s="185"/>
      <c r="G6" s="184" t="str">
        <f>IFERROR(INDEX('Data table'!$AU$10:$AU$38,MATCH(H$4,'Data table'!$C$10:$C$38,0),1),"")</f>
        <v/>
      </c>
      <c r="H6" s="185"/>
      <c r="I6" s="184" t="str">
        <f>IFERROR(INDEX('Data table'!$AU$10:$AU$38,MATCH(J$4,'Data table'!$C$10:$C$38,0),1),"")</f>
        <v/>
      </c>
      <c r="J6" s="185"/>
      <c r="K6" s="184" t="str">
        <f>IFERROR(INDEX('Data table'!$AU$10:$AU$38,MATCH(L$4,'Data table'!$C$10:$C$38,0),1),"")</f>
        <v/>
      </c>
      <c r="L6" s="185"/>
      <c r="M6" s="45">
        <f>SUMPRODUCT('Data table'!$O$10:$O$38,'Data table'!$AU$10:$AU$38)/SUM('Data table'!$O$10:$O$38)</f>
        <v>0.18448987941995748</v>
      </c>
      <c r="N6" s="34"/>
    </row>
    <row r="7" spans="1:16" ht="13.2" customHeight="1" x14ac:dyDescent="0.25">
      <c r="A7" s="34"/>
      <c r="B7" s="171"/>
      <c r="C7" s="192" t="str">
        <f>IF($M$1="ENG","after measures taken by bank","з урахуванням здійснених банком заходів")</f>
        <v>after measures taken by bank</v>
      </c>
      <c r="D7" s="122" t="str">
        <f>IF($M$1="ENG","CAR","Н2")</f>
        <v>CAR</v>
      </c>
      <c r="E7" s="184" t="str">
        <f>IFERROR(INDEX('Data table'!$AW$10:$AW$38,MATCH(F$4,'Data table'!$C$10:$C$38,0),1),"")</f>
        <v/>
      </c>
      <c r="F7" s="185"/>
      <c r="G7" s="184" t="str">
        <f>IFERROR(INDEX('Data table'!$AW$10:$AW$38,MATCH(H$4,'Data table'!$C$10:$C$38,0),1),"")</f>
        <v/>
      </c>
      <c r="H7" s="185"/>
      <c r="I7" s="184" t="str">
        <f>IFERROR(INDEX('Data table'!$AW$10:$AW$38,MATCH(J$4,'Data table'!$C$10:$C$38,0),1),"")</f>
        <v/>
      </c>
      <c r="J7" s="185"/>
      <c r="K7" s="184" t="str">
        <f>IFERROR(INDEX('Data table'!$AW$10:$AW$38,MATCH(L$4,'Data table'!$C$10:$C$38,0),1),"")</f>
        <v/>
      </c>
      <c r="L7" s="185"/>
      <c r="M7" s="115">
        <f>SUMPRODUCT('Data table'!$O$10:$O$38,'Data table'!$AW$10:$AW$38)/SUM('Data table'!$O$10:$O$38)</f>
        <v>0.15533138723554488</v>
      </c>
      <c r="N7" s="59"/>
    </row>
    <row r="8" spans="1:16" ht="13.2" customHeight="1" x14ac:dyDescent="0.25">
      <c r="A8" s="34"/>
      <c r="B8" s="171"/>
      <c r="C8" s="193"/>
      <c r="D8" s="121" t="str">
        <f>IF($M$1="ENG","Core capital ratio","Н3")</f>
        <v>Core capital ratio</v>
      </c>
      <c r="E8" s="184" t="str">
        <f>IFERROR(INDEX('Data table'!$AX$10:$AX$38,MATCH(F$4,'Data table'!$C$10:$C$38,0),1),"")</f>
        <v/>
      </c>
      <c r="F8" s="185"/>
      <c r="G8" s="184" t="str">
        <f>IFERROR(INDEX('Data table'!$AX$10:$AX$38,MATCH(H$4,'Data table'!$C$10:$C$38,0),1),"")</f>
        <v/>
      </c>
      <c r="H8" s="185"/>
      <c r="I8" s="184" t="str">
        <f>IFERROR(INDEX('Data table'!$AX$10:$AX$38,MATCH(J$4,'Data table'!$C$10:$C$38,0),1),"")</f>
        <v/>
      </c>
      <c r="J8" s="185"/>
      <c r="K8" s="184" t="str">
        <f>IFERROR(INDEX('Data table'!$AX$10:$AX$38,MATCH(L$4,'Data table'!$C$10:$C$38,0),1),"")</f>
        <v/>
      </c>
      <c r="L8" s="185"/>
      <c r="M8" s="45">
        <f>SUMPRODUCT('Data table'!$O$10:$O$38,'Data table'!$AX$10:$AX$38)/SUM('Data table'!$O$10:$O$38)</f>
        <v>0.13375933618027275</v>
      </c>
      <c r="N8" s="59"/>
    </row>
    <row r="9" spans="1:16" ht="13.2" customHeight="1" x14ac:dyDescent="0.25">
      <c r="C9" s="190" t="str">
        <f>IF(M$1="ENG","Actual capital adequacy levels as of 1 Dec 2019","Фактичний рівень нормативів на 01.12.2019 р.")</f>
        <v>Actual capital adequacy levels as of 1 Dec 2019</v>
      </c>
      <c r="D9" s="126" t="str">
        <f>IF($M$1="ENG","CAR","Н2")</f>
        <v>CAR</v>
      </c>
      <c r="E9" s="184" t="str">
        <f>IFERROR(INDEX('Data table'!$BD$10:$BD$38,MATCH(F$4,'Data table'!$C$10:$C$38,0),1),"")</f>
        <v/>
      </c>
      <c r="F9" s="185"/>
      <c r="G9" s="184" t="str">
        <f>IFERROR(INDEX('Data table'!$BD$10:$BD$38,MATCH(H$4,'Data table'!$C$10:$C$38,0),1),"")</f>
        <v/>
      </c>
      <c r="H9" s="185"/>
      <c r="I9" s="184" t="str">
        <f>IFERROR(INDEX('Data table'!$BD$10:$BD$38,MATCH(J$4,'Data table'!$C$10:$C$38,0),1),"")</f>
        <v/>
      </c>
      <c r="J9" s="185"/>
      <c r="K9" s="184" t="str">
        <f>IFERROR(INDEX('Data table'!$BD$10:$BD$38,MATCH(L$4,'Data table'!$C$10:$C$38,0),1),"")</f>
        <v/>
      </c>
      <c r="L9" s="185"/>
      <c r="M9" s="71"/>
      <c r="N9" s="34"/>
      <c r="O9" s="34"/>
    </row>
    <row r="10" spans="1:16" ht="13.2" customHeight="1" x14ac:dyDescent="0.25">
      <c r="C10" s="191"/>
      <c r="D10" s="127" t="str">
        <f>IF($M$1="ENG","Core capital ratio","Н3")</f>
        <v>Core capital ratio</v>
      </c>
      <c r="E10" s="184" t="str">
        <f>IFERROR(INDEX('Data table'!$BE$10:$BE$38,MATCH(F$4,'Data table'!$C$10:$C$38,0),1),"")</f>
        <v/>
      </c>
      <c r="F10" s="185"/>
      <c r="G10" s="184" t="str">
        <f>IFERROR(INDEX('Data table'!$BE$10:$BE$38,MATCH(H$4,'Data table'!$C$10:$C$38,0),1),"")</f>
        <v/>
      </c>
      <c r="H10" s="185"/>
      <c r="I10" s="184" t="str">
        <f>IFERROR(INDEX('Data table'!$BE$10:$BE$38,MATCH(J$4,'Data table'!$C$10:$C$38,0),1),"")</f>
        <v/>
      </c>
      <c r="J10" s="185"/>
      <c r="K10" s="184" t="str">
        <f>IFERROR(INDEX('Data table'!$BE$10:$BE$38,MATCH(L$4,'Data table'!$C$10:$C$38,0),1),"")</f>
        <v/>
      </c>
      <c r="L10" s="185"/>
    </row>
    <row r="11" spans="1:16" ht="13.2" customHeight="1" x14ac:dyDescent="0.25">
      <c r="B11" s="171" t="str">
        <f>IF($M$1="ENG","Memo: capital need*","Довідково: сума потреби* в капіталі")</f>
        <v>Memo: capital need*</v>
      </c>
      <c r="C11" s="170" t="str">
        <f>IF($M$1="ENG","stress test results","за результатами стрес-тестування")</f>
        <v>stress test results</v>
      </c>
      <c r="D11" s="122" t="str">
        <f>IF($M$1="ENG","baseline scenario","базовий сценарій")</f>
        <v>baseline scenario</v>
      </c>
      <c r="E11" s="188" t="str">
        <f>IFERROR(INDEX('Data table'!$AY$10:$AY$38,MATCH(F$4,'Data table'!$C$10:$C$38,0),1),"")</f>
        <v/>
      </c>
      <c r="F11" s="189"/>
      <c r="G11" s="188" t="str">
        <f>IFERROR(INDEX('Data table'!$AY$10:$AY$38,MATCH(H$4,'Data table'!$C$10:$C$38,0),1),"")</f>
        <v/>
      </c>
      <c r="H11" s="189"/>
      <c r="I11" s="188" t="str">
        <f>IFERROR(INDEX('Data table'!$AY$10:$AY$38,MATCH(J$4,'Data table'!$C$10:$C$38,0),1),"")</f>
        <v/>
      </c>
      <c r="J11" s="189"/>
      <c r="K11" s="188" t="str">
        <f>IFERROR(INDEX('Data table'!$AY$10:$AY$38,MATCH(L$4,'Data table'!$C$10:$C$38,0),1),"")</f>
        <v/>
      </c>
      <c r="L11" s="189"/>
      <c r="M11" s="46">
        <f>SUM('Data table'!$AY$10:$AY$38)</f>
        <v>35266.010999999999</v>
      </c>
      <c r="P11" s="60"/>
    </row>
    <row r="12" spans="1:16" x14ac:dyDescent="0.25">
      <c r="B12" s="171"/>
      <c r="C12" s="172"/>
      <c r="D12" s="121" t="str">
        <f>IF($M$1="ENG","adverse scenario","несприятл. сценарій")</f>
        <v>adverse scenario</v>
      </c>
      <c r="E12" s="188" t="str">
        <f>IFERROR(INDEX('Data table'!$AZ$10:$AZ$38,MATCH(F$4,'Data table'!$C$10:$C$38,0),1),"")</f>
        <v/>
      </c>
      <c r="F12" s="189"/>
      <c r="G12" s="188" t="str">
        <f>IFERROR(INDEX('Data table'!$AZ$10:$AZ$38,MATCH(H$4,'Data table'!$C$10:$C$38,0),1),"")</f>
        <v/>
      </c>
      <c r="H12" s="189"/>
      <c r="I12" s="188" t="str">
        <f>IFERROR(INDEX('Data table'!$AZ$10:$AZ$38,MATCH(J$4,'Data table'!$C$10:$C$38,0),1),"")</f>
        <v/>
      </c>
      <c r="J12" s="189"/>
      <c r="K12" s="188" t="str">
        <f>IFERROR(INDEX('Data table'!$AZ$10:$AZ$38,MATCH(L$4,'Data table'!$C$10:$C$38,0),1),"")</f>
        <v/>
      </c>
      <c r="L12" s="189"/>
      <c r="M12" s="47">
        <f>SUM('Data table'!$AZ$10:$AZ$38)</f>
        <v>73819.278999999995</v>
      </c>
    </row>
    <row r="13" spans="1:16" x14ac:dyDescent="0.25">
      <c r="B13" s="171"/>
      <c r="C13" s="192" t="str">
        <f>IF($M$1="ENG","after measures taken by bank","з урахуванням здійснених банком заходів")</f>
        <v>after measures taken by bank</v>
      </c>
      <c r="D13" s="122" t="str">
        <f>IF($M$1="ENG","baseline scenario","базовий сценарій")</f>
        <v>baseline scenario</v>
      </c>
      <c r="E13" s="188" t="str">
        <f>IFERROR(INDEX('Data table'!$BB$10:$BB$38,MATCH(F$4,'Data table'!$C$10:$C$38,0),1),"")</f>
        <v/>
      </c>
      <c r="F13" s="189"/>
      <c r="G13" s="188" t="str">
        <f>IFERROR(INDEX('Data table'!$BB$10:$BB$38,MATCH(H$4,'Data table'!$C$10:$C$38,0),1),"")</f>
        <v/>
      </c>
      <c r="H13" s="189"/>
      <c r="I13" s="188" t="str">
        <f>IFERROR(INDEX('Data table'!$BB$10:$BB$38,MATCH(J$4,'Data table'!$C$10:$C$38,0),1),"")</f>
        <v/>
      </c>
      <c r="J13" s="189"/>
      <c r="K13" s="188" t="str">
        <f>IFERROR(INDEX('Data table'!$BB$10:$BB$38,MATCH(L$4,'Data table'!$C$10:$C$38,0),1),"")</f>
        <v/>
      </c>
      <c r="L13" s="189"/>
      <c r="M13" s="47">
        <f>SUM('Data table'!$BB$10:$BB$38)</f>
        <v>15649.768</v>
      </c>
    </row>
    <row r="14" spans="1:16" x14ac:dyDescent="0.25">
      <c r="B14" s="172"/>
      <c r="C14" s="193"/>
      <c r="D14" s="121" t="str">
        <f>IF($M$1="ENG","adverse scenario","несприятл. сценарій")</f>
        <v>adverse scenario</v>
      </c>
      <c r="E14" s="188" t="str">
        <f>IFERROR(INDEX('Data table'!$BC$10:$BC$38,MATCH(F$4,'Data table'!$C$10:$C$38,0),1),"")</f>
        <v/>
      </c>
      <c r="F14" s="189"/>
      <c r="G14" s="188" t="str">
        <f>IFERROR(INDEX('Data table'!$BC$10:$BC$38,MATCH(H$4,'Data table'!$C$10:$C$38,0),1),"")</f>
        <v/>
      </c>
      <c r="H14" s="189"/>
      <c r="I14" s="188" t="str">
        <f>IFERROR(INDEX('Data table'!$BC$10:$BC$38,MATCH(J$4,'Data table'!$C$10:$C$38,0),1),"")</f>
        <v/>
      </c>
      <c r="J14" s="189"/>
      <c r="K14" s="188" t="str">
        <f>IFERROR(INDEX('Data table'!$BC$10:$BC$38,MATCH(L$4,'Data table'!$C$10:$C$38,0),1),"")</f>
        <v/>
      </c>
      <c r="L14" s="189"/>
      <c r="M14" s="47">
        <f>SUM('Data table'!$BC$10:$BC$38)</f>
        <v>44889.171999999999</v>
      </c>
    </row>
    <row r="15" spans="1:16" x14ac:dyDescent="0.25">
      <c r="C15" s="120"/>
      <c r="D15" s="120" t="str">
        <f>IF($M$1="ENG","Measures taken by bank as of","З урахуванням здійснених банком заходів на")</f>
        <v>Measures taken by bank as of</v>
      </c>
      <c r="E15" s="186" t="str">
        <f>IFERROR(INDEX('Data table'!$AV$10:$AV$38,MATCH(F$4,'Data table'!$C$10:$C$38,0),1),"")</f>
        <v/>
      </c>
      <c r="F15" s="187"/>
      <c r="G15" s="186" t="str">
        <f>IFERROR(INDEX('Data table'!$AV$10:$AV$38,MATCH(H$4,'Data table'!$C$10:$C$38,0),1),"")</f>
        <v/>
      </c>
      <c r="H15" s="187"/>
      <c r="I15" s="186" t="str">
        <f>IFERROR(INDEX('Data table'!$AV$10:$AV$38,MATCH(J$4,'Data table'!$C$10:$C$38,0),1),"")</f>
        <v/>
      </c>
      <c r="J15" s="187"/>
      <c r="K15" s="186" t="str">
        <f>IFERROR(INDEX('Data table'!$AV$10:$AV$38,MATCH(L$4,'Data table'!$C$10:$C$38,0),1),"")</f>
        <v/>
      </c>
      <c r="L15" s="187"/>
      <c r="M15" s="114"/>
    </row>
    <row r="16" spans="1:16" x14ac:dyDescent="0.25">
      <c r="B16" s="29" t="str">
        <f>'Data table'!$A$43</f>
        <v>* Capital need is given as a memo item; requirement for capitalization/restructuring plan was based on required (target) capital adequacy level, not on capital need in equivalent as of 1 Jan 2019</v>
      </c>
    </row>
    <row r="17" spans="1:16" ht="31.2" customHeight="1" x14ac:dyDescent="0.25">
      <c r="B17" s="183" t="str">
        <f>IFERROR(IF(OR(COUNTIF($C$4:$P$4,"Альфа-Банк**")&gt;0,COUNTIF($C$4:$P$4,"Укрсоцбанк**")&gt;0,COUNTIF($C$4:$P$4,"Alfa-Bank**")&gt;0,COUNTIF($C$4:$P$4,"Ukrsotsbank**")&gt;0),'Data table'!$A$44,""),"")</f>
        <v/>
      </c>
      <c r="C17" s="183"/>
      <c r="D17" s="183"/>
      <c r="E17" s="183"/>
      <c r="F17" s="183"/>
      <c r="G17" s="183"/>
      <c r="H17" s="183"/>
      <c r="I17" s="183"/>
      <c r="J17" s="183"/>
      <c r="K17" s="183"/>
      <c r="L17" s="183"/>
      <c r="M17" s="183"/>
      <c r="N17" s="128"/>
      <c r="O17" s="128"/>
      <c r="P17" s="128"/>
    </row>
    <row r="18" spans="1:16" ht="40.200000000000003" customHeight="1" x14ac:dyDescent="0.25">
      <c r="A18" s="98" t="str">
        <f>IF($M$1="ENG","Required (target) capital adequacy level before and after measures taken
","Необхідний (цільовий) рівень капіталу
до та після здійснених заходів
")</f>
        <v xml:space="preserve">Required (target) capital adequacy level before and after measures taken
</v>
      </c>
      <c r="C18" s="178" t="str">
        <f>IFERROR(CONCATENATE($A$18,$F$4),$A$18)</f>
        <v xml:space="preserve">Required (target) capital adequacy level before and after measures taken
</v>
      </c>
      <c r="D18" s="178"/>
      <c r="E18" s="178" t="str">
        <f>IFERROR(CONCATENATE($A$18,$H$4),$A$18)</f>
        <v xml:space="preserve">Required (target) capital adequacy level before and after measures taken
</v>
      </c>
      <c r="F18" s="178"/>
      <c r="G18" s="178"/>
      <c r="H18" s="178" t="str">
        <f>IFERROR(CONCATENATE($A$18,$J$4),$A$18)</f>
        <v xml:space="preserve">Required (target) capital adequacy level before and after measures taken
</v>
      </c>
      <c r="I18" s="178"/>
      <c r="J18" s="178"/>
      <c r="K18" s="178"/>
      <c r="L18" s="178" t="str">
        <f>IFERROR(CONCATENATE($A$18,$L$4),$A$18)</f>
        <v xml:space="preserve">Required (target) capital adequacy level before and after measures taken
</v>
      </c>
      <c r="M18" s="178"/>
    </row>
    <row r="26" spans="1:16" x14ac:dyDescent="0.25">
      <c r="A26" s="102"/>
    </row>
    <row r="31" spans="1:16" ht="42" customHeight="1" x14ac:dyDescent="0.25">
      <c r="A31" s="98" t="str">
        <f>IF($M$1="ENG","Capital need*
before and after measures taken
","Сума потреби (нестачі) у капіталі
до та після здійснених заходів
")</f>
        <v xml:space="preserve">Capital need*
before and after measures taken
</v>
      </c>
      <c r="C31" s="178" t="str">
        <f>IFERROR(CONCATENATE($A$31,F4),$A$31)</f>
        <v xml:space="preserve">Capital need*
before and after measures taken
</v>
      </c>
      <c r="D31" s="178"/>
      <c r="E31" s="178" t="str">
        <f>IFERROR(CONCATENATE($A$31,H4),$A$31)</f>
        <v xml:space="preserve">Capital need*
before and after measures taken
</v>
      </c>
      <c r="F31" s="178"/>
      <c r="G31" s="178"/>
      <c r="H31" s="178" t="str">
        <f>IFERROR(CONCATENATE($A$31,L4),$A$31)</f>
        <v xml:space="preserve">Capital need*
before and after measures taken
</v>
      </c>
      <c r="I31" s="178"/>
      <c r="J31" s="178"/>
      <c r="K31" s="178"/>
      <c r="L31" s="178" t="str">
        <f>IFERROR(CONCATENATE($A$31,L4),$A$31)</f>
        <v xml:space="preserve">Capital need*
before and after measures taken
</v>
      </c>
      <c r="M31" s="178"/>
      <c r="N31" s="61"/>
      <c r="O31" s="61"/>
    </row>
  </sheetData>
  <mergeCells count="60">
    <mergeCell ref="L31:M31"/>
    <mergeCell ref="B17:M17"/>
    <mergeCell ref="C18:D18"/>
    <mergeCell ref="E31:G31"/>
    <mergeCell ref="H31:K31"/>
    <mergeCell ref="L18:M18"/>
    <mergeCell ref="E18:G18"/>
    <mergeCell ref="H18:K18"/>
    <mergeCell ref="B11:B14"/>
    <mergeCell ref="C11:C12"/>
    <mergeCell ref="C13:C14"/>
    <mergeCell ref="I11:J11"/>
    <mergeCell ref="K11:L11"/>
    <mergeCell ref="G12:H12"/>
    <mergeCell ref="I12:J12"/>
    <mergeCell ref="K12:L12"/>
    <mergeCell ref="K13:L13"/>
    <mergeCell ref="K14:L14"/>
    <mergeCell ref="E13:F13"/>
    <mergeCell ref="E14:F14"/>
    <mergeCell ref="G13:H13"/>
    <mergeCell ref="G14:H14"/>
    <mergeCell ref="I13:J13"/>
    <mergeCell ref="I14:J14"/>
    <mergeCell ref="C9:C10"/>
    <mergeCell ref="K5:L5"/>
    <mergeCell ref="B5:B8"/>
    <mergeCell ref="C31:D31"/>
    <mergeCell ref="I5:J5"/>
    <mergeCell ref="C5:C6"/>
    <mergeCell ref="C7:C8"/>
    <mergeCell ref="E7:F7"/>
    <mergeCell ref="G6:H6"/>
    <mergeCell ref="G15:H15"/>
    <mergeCell ref="G7:H7"/>
    <mergeCell ref="E5:F5"/>
    <mergeCell ref="E6:F6"/>
    <mergeCell ref="G5:H5"/>
    <mergeCell ref="E11:F11"/>
    <mergeCell ref="E12:F12"/>
    <mergeCell ref="K6:L6"/>
    <mergeCell ref="K15:L15"/>
    <mergeCell ref="K7:L7"/>
    <mergeCell ref="K9:L9"/>
    <mergeCell ref="K10:L10"/>
    <mergeCell ref="I7:J7"/>
    <mergeCell ref="I15:J15"/>
    <mergeCell ref="I6:J6"/>
    <mergeCell ref="G9:H9"/>
    <mergeCell ref="G10:H10"/>
    <mergeCell ref="I9:J9"/>
    <mergeCell ref="I10:J10"/>
    <mergeCell ref="G11:H11"/>
    <mergeCell ref="E8:F8"/>
    <mergeCell ref="G8:H8"/>
    <mergeCell ref="I8:J8"/>
    <mergeCell ref="K8:L8"/>
    <mergeCell ref="E15:F15"/>
    <mergeCell ref="E9:F9"/>
    <mergeCell ref="E10:F10"/>
  </mergeCells>
  <conditionalFormatting sqref="E5:L5 E7:L7">
    <cfRule type="cellIs" dxfId="1" priority="2" operator="equal">
      <formula>0.1</formula>
    </cfRule>
  </conditionalFormatting>
  <conditionalFormatting sqref="E6:L6 E8:L10">
    <cfRule type="cellIs" dxfId="0" priority="1" operator="equal">
      <formula>0.07</formula>
    </cfRule>
  </conditionalFormatting>
  <pageMargins left="0.7" right="0.7" top="0.75" bottom="0.75" header="0.3" footer="0.3"/>
  <ignoredErrors>
    <ignoredError sqref="D6:D12 D13" formula="1"/>
    <ignoredError sqref="L4 J4 H4 F4" evalError="1"/>
  </ignoredErrors>
  <drawing r:id="rId1"/>
  <legacyDrawing r:id="rId2"/>
  <mc:AlternateContent xmlns:mc="http://schemas.openxmlformats.org/markup-compatibility/2006">
    <mc:Choice Requires="x14">
      <controls>
        <mc:AlternateContent xmlns:mc="http://schemas.openxmlformats.org/markup-compatibility/2006">
          <mc:Choice Requires="x14">
            <control shapeId="4100" r:id="rId3" name="Drop Down 4">
              <controlPr defaultSize="0" autoLine="0" autoPict="0">
                <anchor moveWithCells="1">
                  <from>
                    <xdr:col>4</xdr:col>
                    <xdr:colOff>22860</xdr:colOff>
                    <xdr:row>3</xdr:row>
                    <xdr:rowOff>106680</xdr:rowOff>
                  </from>
                  <to>
                    <xdr:col>6</xdr:col>
                    <xdr:colOff>0</xdr:colOff>
                    <xdr:row>3</xdr:row>
                    <xdr:rowOff>342900</xdr:rowOff>
                  </to>
                </anchor>
              </controlPr>
            </control>
          </mc:Choice>
        </mc:AlternateContent>
        <mc:AlternateContent xmlns:mc="http://schemas.openxmlformats.org/markup-compatibility/2006">
          <mc:Choice Requires="x14">
            <control shapeId="4101" r:id="rId4" name="Drop Down 5">
              <controlPr defaultSize="0" autoLine="0" autoPict="0">
                <anchor moveWithCells="1">
                  <from>
                    <xdr:col>6</xdr:col>
                    <xdr:colOff>53340</xdr:colOff>
                    <xdr:row>3</xdr:row>
                    <xdr:rowOff>99060</xdr:rowOff>
                  </from>
                  <to>
                    <xdr:col>7</xdr:col>
                    <xdr:colOff>632460</xdr:colOff>
                    <xdr:row>3</xdr:row>
                    <xdr:rowOff>335280</xdr:rowOff>
                  </to>
                </anchor>
              </controlPr>
            </control>
          </mc:Choice>
        </mc:AlternateContent>
        <mc:AlternateContent xmlns:mc="http://schemas.openxmlformats.org/markup-compatibility/2006">
          <mc:Choice Requires="x14">
            <control shapeId="4103" r:id="rId5" name="Drop Down 7">
              <controlPr defaultSize="0" autoLine="0" autoPict="0">
                <anchor moveWithCells="1">
                  <from>
                    <xdr:col>8</xdr:col>
                    <xdr:colOff>53340</xdr:colOff>
                    <xdr:row>3</xdr:row>
                    <xdr:rowOff>99060</xdr:rowOff>
                  </from>
                  <to>
                    <xdr:col>9</xdr:col>
                    <xdr:colOff>1272540</xdr:colOff>
                    <xdr:row>3</xdr:row>
                    <xdr:rowOff>327660</xdr:rowOff>
                  </to>
                </anchor>
              </controlPr>
            </control>
          </mc:Choice>
        </mc:AlternateContent>
        <mc:AlternateContent xmlns:mc="http://schemas.openxmlformats.org/markup-compatibility/2006">
          <mc:Choice Requires="x14">
            <control shapeId="4104" r:id="rId6" name="Drop Down 8">
              <controlPr defaultSize="0" autoLine="0" autoPict="0">
                <anchor moveWithCells="1">
                  <from>
                    <xdr:col>10</xdr:col>
                    <xdr:colOff>76200</xdr:colOff>
                    <xdr:row>3</xdr:row>
                    <xdr:rowOff>99060</xdr:rowOff>
                  </from>
                  <to>
                    <xdr:col>11</xdr:col>
                    <xdr:colOff>1310640</xdr:colOff>
                    <xdr:row>3</xdr:row>
                    <xdr:rowOff>327660</xdr:rowOff>
                  </to>
                </anchor>
              </controlPr>
            </control>
          </mc:Choice>
        </mc:AlternateContent>
        <mc:AlternateContent xmlns:mc="http://schemas.openxmlformats.org/markup-compatibility/2006">
          <mc:Choice Requires="x14">
            <control shapeId="4106" r:id="rId7" name="Drop Down 10">
              <controlPr defaultSize="0" autoLine="0" autoPict="0">
                <anchor moveWithCells="1">
                  <from>
                    <xdr:col>12</xdr:col>
                    <xdr:colOff>426720</xdr:colOff>
                    <xdr:row>0</xdr:row>
                    <xdr:rowOff>7620</xdr:rowOff>
                  </from>
                  <to>
                    <xdr:col>13</xdr:col>
                    <xdr:colOff>7620</xdr:colOff>
                    <xdr:row>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9"/>
  <sheetViews>
    <sheetView zoomScale="70" zoomScaleNormal="70" workbookViewId="0">
      <pane xSplit="3" ySplit="9" topLeftCell="D10" activePane="bottomRight" state="frozen"/>
      <selection pane="topRight" activeCell="D1" sqref="D1"/>
      <selection pane="bottomLeft" activeCell="A14" sqref="A14"/>
      <selection pane="bottomRight" activeCell="C37" sqref="C37"/>
    </sheetView>
  </sheetViews>
  <sheetFormatPr defaultColWidth="8.88671875" defaultRowHeight="13.2" x14ac:dyDescent="0.25"/>
  <cols>
    <col min="1" max="1" width="5.5546875" style="29" customWidth="1"/>
    <col min="2" max="2" width="6.5546875" style="29" customWidth="1"/>
    <col min="3" max="4" width="32.5546875" style="29" customWidth="1"/>
    <col min="5" max="5" width="12.6640625" style="29" customWidth="1"/>
    <col min="6" max="6" width="13.88671875" style="29" customWidth="1"/>
    <col min="7" max="7" width="10.44140625" style="29" customWidth="1"/>
    <col min="8" max="8" width="9" style="29" customWidth="1"/>
    <col min="9" max="9" width="23" style="29" hidden="1" customWidth="1"/>
    <col min="10" max="10" width="14.5546875" style="29" customWidth="1"/>
    <col min="11" max="12" width="11.33203125" style="29" bestFit="1" customWidth="1"/>
    <col min="13" max="13" width="10.33203125" style="29" customWidth="1"/>
    <col min="14" max="14" width="9" style="29" bestFit="1" customWidth="1"/>
    <col min="15" max="15" width="22.21875" style="29" hidden="1" customWidth="1"/>
    <col min="16" max="21" width="11.33203125" style="29" bestFit="1" customWidth="1"/>
    <col min="22" max="26" width="9" style="29" bestFit="1" customWidth="1"/>
    <col min="27" max="27" width="9" style="29" customWidth="1"/>
    <col min="28" max="30" width="9" style="29" hidden="1" customWidth="1"/>
    <col min="31" max="31" width="10.6640625" style="29" bestFit="1" customWidth="1"/>
    <col min="32" max="33" width="11.33203125" style="29" bestFit="1" customWidth="1"/>
    <col min="34" max="34" width="10.6640625" style="29" bestFit="1" customWidth="1"/>
    <col min="35" max="36" width="11.33203125" style="29" bestFit="1" customWidth="1"/>
    <col min="37" max="37" width="9" style="29" bestFit="1" customWidth="1"/>
    <col min="38" max="38" width="10.5546875" style="29" customWidth="1"/>
    <col min="39" max="39" width="9.6640625" style="29" bestFit="1" customWidth="1"/>
    <col min="40" max="40" width="9" style="29" bestFit="1" customWidth="1"/>
    <col min="41" max="42" width="9.6640625" style="29" bestFit="1" customWidth="1"/>
    <col min="43" max="45" width="9.6640625" style="29" hidden="1" customWidth="1"/>
    <col min="46" max="47" width="9.6640625" style="29" customWidth="1"/>
    <col min="48" max="48" width="14.21875" style="29" customWidth="1"/>
    <col min="49" max="50" width="14" style="29" customWidth="1"/>
    <col min="51" max="51" width="19.44140625" style="29" customWidth="1"/>
    <col min="52" max="52" width="17.88671875" style="29" customWidth="1"/>
    <col min="53" max="53" width="14.33203125" style="29" customWidth="1"/>
    <col min="54" max="55" width="17" style="29" customWidth="1"/>
    <col min="56" max="16384" width="8.88671875" style="29"/>
  </cols>
  <sheetData>
    <row r="1" spans="1:57" x14ac:dyDescent="0.25">
      <c r="J1" s="93" t="str">
        <f>'Individual banks'!K1</f>
        <v>ENG</v>
      </c>
      <c r="K1" s="99" t="str">
        <f>IF($J$1="ENG","Змінити мову тут","Change language here")</f>
        <v>Змінити мову тут</v>
      </c>
    </row>
    <row r="2" spans="1:57" ht="14.4" customHeight="1" x14ac:dyDescent="0.25">
      <c r="B2" s="82" t="str">
        <f>IF($J$1="ENG","Results of stress test of banks and Ukrainian banking system","Результати стрес-тестування банків та банківської системи України")</f>
        <v>Results of stress test of banks and Ukrainian banking system</v>
      </c>
      <c r="C2" s="81"/>
      <c r="D2" s="64"/>
    </row>
    <row r="3" spans="1:57" x14ac:dyDescent="0.25">
      <c r="C3" s="68"/>
      <c r="D3" s="68"/>
    </row>
    <row r="4" spans="1:57" ht="36" customHeight="1" x14ac:dyDescent="0.25">
      <c r="A4" s="210" t="str">
        <f>IF($J$1="ENG","#","№ з/п")</f>
        <v>#</v>
      </c>
      <c r="B4" s="210" t="str">
        <f>IF($J$1="ENG","NKB","НКБ")</f>
        <v>NKB</v>
      </c>
      <c r="C4" s="210" t="str">
        <f>IF($J$1="ENG","Name","Назва")</f>
        <v>Name</v>
      </c>
      <c r="D4" s="210" t="str">
        <f>IF($J$1="ENG","Group","Група")</f>
        <v>Group</v>
      </c>
      <c r="E4" s="204" t="str">
        <f>IF($J$1="ENG","Bank's data","Дані банку")</f>
        <v>Bank's data</v>
      </c>
      <c r="F4" s="205"/>
      <c r="G4" s="205"/>
      <c r="H4" s="205"/>
      <c r="I4" s="208"/>
      <c r="J4" s="204" t="str">
        <f>IF($J$1="ENG","Asset quality review","Дані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Asset quality review</v>
      </c>
      <c r="K4" s="205"/>
      <c r="L4" s="205"/>
      <c r="M4" s="205"/>
      <c r="N4" s="205"/>
      <c r="O4" s="208"/>
      <c r="P4" s="204" t="str">
        <f>IF($J$1="ENG","Baseline scenario","За базовим макроекономічним сценарієм")</f>
        <v>Baseline scenario</v>
      </c>
      <c r="Q4" s="205"/>
      <c r="R4" s="205"/>
      <c r="S4" s="205"/>
      <c r="T4" s="205"/>
      <c r="U4" s="205"/>
      <c r="V4" s="205"/>
      <c r="W4" s="205"/>
      <c r="X4" s="205"/>
      <c r="Y4" s="205"/>
      <c r="Z4" s="205"/>
      <c r="AA4" s="205"/>
      <c r="AB4" s="205"/>
      <c r="AC4" s="205"/>
      <c r="AD4" s="205"/>
      <c r="AE4" s="204" t="str">
        <f>IF($J$1="ENG","Adverse scenario","За несприятливим макроекономічним сценарієм")</f>
        <v>Adverse scenario</v>
      </c>
      <c r="AF4" s="205"/>
      <c r="AG4" s="205"/>
      <c r="AH4" s="205"/>
      <c r="AI4" s="205"/>
      <c r="AJ4" s="205"/>
      <c r="AK4" s="205"/>
      <c r="AL4" s="205"/>
      <c r="AM4" s="205"/>
      <c r="AN4" s="205"/>
      <c r="AO4" s="205"/>
      <c r="AP4" s="205"/>
      <c r="AQ4" s="205"/>
      <c r="AR4" s="205"/>
      <c r="AS4" s="205"/>
      <c r="AT4" s="211" t="str">
        <f>IF($J$1="ENG","Required (target) capital adequacy level","Необхідний (цільовий) рівень нормативів")</f>
        <v>Required (target) capital adequacy level</v>
      </c>
      <c r="AU4" s="217"/>
      <c r="AV4" s="217"/>
      <c r="AW4" s="217"/>
      <c r="AX4" s="212"/>
      <c r="AY4" s="219" t="str">
        <f>IF($J$1="ENG","Memo: capital need* in equivalent as of 1 Jan 2019","Довідково: сума потреби* в капіталі в еквіваленті на 01.01.2019 р.")</f>
        <v>Memo: capital need* in equivalent as of 1 Jan 2019</v>
      </c>
      <c r="AZ4" s="219"/>
      <c r="BA4" s="219"/>
      <c r="BB4" s="219"/>
      <c r="BC4" s="219"/>
      <c r="BD4" s="211" t="str">
        <f>IF($J$1="ENG","Memo: capital adequacy ratios as of 1 Dec 2019","Довідково: нормативи достатності капіталу на 01.12.2019 р.")</f>
        <v>Memo: capital adequacy ratios as of 1 Dec 2019</v>
      </c>
      <c r="BE4" s="212"/>
    </row>
    <row r="5" spans="1:57" ht="36" customHeight="1" x14ac:dyDescent="0.25">
      <c r="A5" s="210"/>
      <c r="B5" s="210"/>
      <c r="C5" s="210"/>
      <c r="D5" s="210"/>
      <c r="E5" s="206"/>
      <c r="F5" s="207"/>
      <c r="G5" s="207"/>
      <c r="H5" s="207"/>
      <c r="I5" s="209"/>
      <c r="J5" s="206"/>
      <c r="K5" s="207"/>
      <c r="L5" s="207"/>
      <c r="M5" s="207"/>
      <c r="N5" s="207"/>
      <c r="O5" s="209"/>
      <c r="P5" s="206"/>
      <c r="Q5" s="207"/>
      <c r="R5" s="207"/>
      <c r="S5" s="207"/>
      <c r="T5" s="207"/>
      <c r="U5" s="207"/>
      <c r="V5" s="207"/>
      <c r="W5" s="207"/>
      <c r="X5" s="207"/>
      <c r="Y5" s="207"/>
      <c r="Z5" s="207"/>
      <c r="AA5" s="207"/>
      <c r="AB5" s="207"/>
      <c r="AC5" s="207"/>
      <c r="AD5" s="207"/>
      <c r="AE5" s="206"/>
      <c r="AF5" s="207"/>
      <c r="AG5" s="207"/>
      <c r="AH5" s="207"/>
      <c r="AI5" s="207"/>
      <c r="AJ5" s="207"/>
      <c r="AK5" s="207"/>
      <c r="AL5" s="207"/>
      <c r="AM5" s="207"/>
      <c r="AN5" s="207"/>
      <c r="AO5" s="207"/>
      <c r="AP5" s="207"/>
      <c r="AQ5" s="207"/>
      <c r="AR5" s="207"/>
      <c r="AS5" s="207"/>
      <c r="AT5" s="215"/>
      <c r="AU5" s="218"/>
      <c r="AV5" s="218"/>
      <c r="AW5" s="218"/>
      <c r="AX5" s="216"/>
      <c r="AY5" s="219"/>
      <c r="AZ5" s="219"/>
      <c r="BA5" s="219"/>
      <c r="BB5" s="219"/>
      <c r="BC5" s="219"/>
      <c r="BD5" s="213"/>
      <c r="BE5" s="214"/>
    </row>
    <row r="6" spans="1:57" ht="40.950000000000003" customHeight="1" x14ac:dyDescent="0.25">
      <c r="A6" s="210"/>
      <c r="B6" s="210"/>
      <c r="C6" s="210"/>
      <c r="D6" s="210"/>
      <c r="E6" s="91" t="str">
        <f>IF($J$1="ENG","Core capital, UAH mln","ОК, млн грн")</f>
        <v>Core capital, UAH mln</v>
      </c>
      <c r="F6" s="91" t="str">
        <f>IF($J$1="ENG","Regulatory capital, UAH mln","РК, млн грн")</f>
        <v>Regulatory capital, UAH mln</v>
      </c>
      <c r="G6" s="91" t="str">
        <f>IF($J$1="ENG","CAR","Н2")</f>
        <v>CAR</v>
      </c>
      <c r="H6" s="91" t="str">
        <f>IF($J$1="ENG","Core capital ratio","Н3")</f>
        <v>Core capital ratio</v>
      </c>
      <c r="I6" s="74" t="str">
        <f>IF($J$1="ENG","Estimated denominator of the requirement, UAH mln","Розрахунковий знаменник нормативу, млн грн")</f>
        <v>Estimated denominator of the requirement, UAH mln</v>
      </c>
      <c r="J6" s="36" t="str">
        <f>IF($J$1="ENG","extrapolation","екстраполяція")</f>
        <v>extrapolation</v>
      </c>
      <c r="K6" s="91" t="str">
        <f>E6</f>
        <v>Core capital, UAH mln</v>
      </c>
      <c r="L6" s="100" t="str">
        <f t="shared" ref="L6:N6" si="0">F6</f>
        <v>Regulatory capital, UAH mln</v>
      </c>
      <c r="M6" s="100" t="str">
        <f t="shared" si="0"/>
        <v>CAR</v>
      </c>
      <c r="N6" s="100" t="str">
        <f t="shared" si="0"/>
        <v>Core capital ratio</v>
      </c>
      <c r="O6" s="74" t="str">
        <f>IF($J$1="ENG","Estimated denominator of the requirement, UAH mln","Розрахунковий знаменник нормативу, млн грн")</f>
        <v>Estimated denominator of the requirement, UAH mln</v>
      </c>
      <c r="P6" s="201" t="str">
        <f>E6</f>
        <v>Core capital, UAH mln</v>
      </c>
      <c r="Q6" s="202"/>
      <c r="R6" s="203"/>
      <c r="S6" s="201" t="str">
        <f>F6</f>
        <v>Regulatory capital, UAH mln</v>
      </c>
      <c r="T6" s="202"/>
      <c r="U6" s="203"/>
      <c r="V6" s="201" t="str">
        <f>M6</f>
        <v>CAR</v>
      </c>
      <c r="W6" s="202"/>
      <c r="X6" s="203"/>
      <c r="Y6" s="201" t="str">
        <f>H6</f>
        <v>Core capital ratio</v>
      </c>
      <c r="Z6" s="202"/>
      <c r="AA6" s="203"/>
      <c r="AB6" s="198" t="str">
        <f>IF($J$1="ENG","Estimated denominator of the requirement, UAH mln","Розрахунковий знаменник нормативу, млн грн")</f>
        <v>Estimated denominator of the requirement, UAH mln</v>
      </c>
      <c r="AC6" s="199"/>
      <c r="AD6" s="200"/>
      <c r="AE6" s="201" t="str">
        <f>P6</f>
        <v>Core capital, UAH mln</v>
      </c>
      <c r="AF6" s="202"/>
      <c r="AG6" s="203"/>
      <c r="AH6" s="201" t="str">
        <f>S6</f>
        <v>Regulatory capital, UAH mln</v>
      </c>
      <c r="AI6" s="202"/>
      <c r="AJ6" s="203"/>
      <c r="AK6" s="201" t="str">
        <f>V6</f>
        <v>CAR</v>
      </c>
      <c r="AL6" s="202"/>
      <c r="AM6" s="203"/>
      <c r="AN6" s="201" t="str">
        <f>Y6</f>
        <v>Core capital ratio</v>
      </c>
      <c r="AO6" s="202"/>
      <c r="AP6" s="203"/>
      <c r="AQ6" s="198" t="str">
        <f>IF($J$1="ENG","Estimated denominator of the requirement, UAH mln","Розрахунковий знаменник нормативу, млн грн")</f>
        <v>Estimated denominator of the requirement, UAH mln</v>
      </c>
      <c r="AR6" s="199"/>
      <c r="AS6" s="200"/>
      <c r="AT6" s="201" t="str">
        <f>IF($J$1="ENG","resilience assessment results, %","за результатами оцінки стійкості, %")</f>
        <v>resilience assessment results, %</v>
      </c>
      <c r="AU6" s="203"/>
      <c r="AV6" s="201" t="str">
        <f>IF($J$1="ENG","after measures taken by banks, %","з урахуванням здійснених банком заходів, %")</f>
        <v>after measures taken by banks, %</v>
      </c>
      <c r="AW6" s="202"/>
      <c r="AX6" s="203"/>
      <c r="AY6" s="197" t="str">
        <f>IF($J$1="ENG","resilience assessment results, UAH mln","за результатами оцінки стійкості, млн грн")</f>
        <v>resilience assessment results, UAH mln</v>
      </c>
      <c r="AZ6" s="197"/>
      <c r="BA6" s="197" t="str">
        <f>IF($J$1="ENG","after measures taken by banks, UAH mln","з урахуванням здійснених банком заходів, млн грн")</f>
        <v>after measures taken by banks, UAH mln</v>
      </c>
      <c r="BB6" s="197"/>
      <c r="BC6" s="197"/>
      <c r="BD6" s="215"/>
      <c r="BE6" s="216"/>
    </row>
    <row r="7" spans="1:57" ht="18" customHeight="1" x14ac:dyDescent="0.25">
      <c r="A7" s="210"/>
      <c r="B7" s="210"/>
      <c r="C7" s="210"/>
      <c r="D7" s="210"/>
      <c r="E7" s="204" t="str">
        <f>IF($J$1="ENG","reporting date 1 Jan 2019","звітний рік (на 01.01.2019)")</f>
        <v>reporting date 1 Jan 2019</v>
      </c>
      <c r="F7" s="205"/>
      <c r="G7" s="205"/>
      <c r="H7" s="205"/>
      <c r="I7" s="208"/>
      <c r="J7" s="204" t="str">
        <f>IF($J$1="ENG","reporting date 1 Jan 2019","звітний рік (на 01.01.2019)")</f>
        <v>reporting date 1 Jan 2019</v>
      </c>
      <c r="K7" s="205"/>
      <c r="L7" s="205"/>
      <c r="M7" s="205"/>
      <c r="N7" s="205"/>
      <c r="O7" s="208"/>
      <c r="P7" s="36" t="str">
        <f>IF($J$1="ENG","1st","1-й")</f>
        <v>1st</v>
      </c>
      <c r="Q7" s="36" t="str">
        <f>IF($J$1="ENG","2nd","2-й")</f>
        <v>2nd</v>
      </c>
      <c r="R7" s="36" t="str">
        <f>IF($J$1="ENG","3rd","3-й")</f>
        <v>3rd</v>
      </c>
      <c r="S7" s="91" t="str">
        <f>IF($J$1="ENG","1st","1-й")</f>
        <v>1st</v>
      </c>
      <c r="T7" s="91" t="str">
        <f>IF($J$1="ENG","2nd","2-й")</f>
        <v>2nd</v>
      </c>
      <c r="U7" s="91" t="str">
        <f>IF($J$1="ENG","3rd","3-й")</f>
        <v>3rd</v>
      </c>
      <c r="V7" s="91" t="str">
        <f>IF($J$1="ENG","1st","1-й")</f>
        <v>1st</v>
      </c>
      <c r="W7" s="91" t="str">
        <f>IF($J$1="ENG","2nd","2-й")</f>
        <v>2nd</v>
      </c>
      <c r="X7" s="91" t="str">
        <f>IF($J$1="ENG","3rd","3-й")</f>
        <v>3rd</v>
      </c>
      <c r="Y7" s="91" t="str">
        <f>IF($J$1="ENG","1st","1-й")</f>
        <v>1st</v>
      </c>
      <c r="Z7" s="91" t="str">
        <f>IF($J$1="ENG","2nd","2-й")</f>
        <v>2nd</v>
      </c>
      <c r="AA7" s="91" t="str">
        <f>IF($J$1="ENG","3rd","3-й")</f>
        <v>3rd</v>
      </c>
      <c r="AB7" s="135" t="str">
        <f>IF($J$1="ENG","1st","1-й")</f>
        <v>1st</v>
      </c>
      <c r="AC7" s="135" t="str">
        <f>IF($J$1="ENG","2nd","2-й")</f>
        <v>2nd</v>
      </c>
      <c r="AD7" s="135" t="str">
        <f>IF($J$1="ENG","3rd","3-й")</f>
        <v>3rd</v>
      </c>
      <c r="AE7" s="136" t="str">
        <f>IF($J$1="ENG","1st","1-й")</f>
        <v>1st</v>
      </c>
      <c r="AF7" s="91" t="str">
        <f>IF($J$1="ENG","2nd","2-й")</f>
        <v>2nd</v>
      </c>
      <c r="AG7" s="91" t="str">
        <f>IF($J$1="ENG","3rd","3-й")</f>
        <v>3rd</v>
      </c>
      <c r="AH7" s="91" t="str">
        <f>IF($J$1="ENG","1st","1-й")</f>
        <v>1st</v>
      </c>
      <c r="AI7" s="91" t="str">
        <f>IF($J$1="ENG","2nd","2-й")</f>
        <v>2nd</v>
      </c>
      <c r="AJ7" s="91" t="str">
        <f>IF($J$1="ENG","3rd","3-й")</f>
        <v>3rd</v>
      </c>
      <c r="AK7" s="91" t="str">
        <f>IF($J$1="ENG","1st","1-й")</f>
        <v>1st</v>
      </c>
      <c r="AL7" s="91" t="str">
        <f>IF($J$1="ENG","2nd","2-й")</f>
        <v>2nd</v>
      </c>
      <c r="AM7" s="91" t="str">
        <f>IF($J$1="ENG","3rd","3-й")</f>
        <v>3rd</v>
      </c>
      <c r="AN7" s="91" t="str">
        <f>IF($J$1="ENG","1st","1-й")</f>
        <v>1st</v>
      </c>
      <c r="AO7" s="91" t="str">
        <f>IF($J$1="ENG","2nd","2-й")</f>
        <v>2nd</v>
      </c>
      <c r="AP7" s="91" t="str">
        <f>IF($J$1="ENG","3rd","3-й")</f>
        <v>3rd</v>
      </c>
      <c r="AQ7" s="135" t="str">
        <f>IF($J$1="ENG","1st","1-й")</f>
        <v>1st</v>
      </c>
      <c r="AR7" s="135" t="str">
        <f>IF($J$1="ENG","2nd","2-й")</f>
        <v>2nd</v>
      </c>
      <c r="AS7" s="135" t="str">
        <f>IF($J$1="ENG","3rd","3-й")</f>
        <v>3rd</v>
      </c>
      <c r="AT7" s="194" t="str">
        <f>IF($J$1="ENG","CAR","Н2")</f>
        <v>CAR</v>
      </c>
      <c r="AU7" s="194" t="str">
        <f>IF($J$1="ENG","Core capital ratio","Н3")</f>
        <v>Core capital ratio</v>
      </c>
      <c r="AV7" s="194" t="str">
        <f>IF($J$1="ENG","Date","Дата")</f>
        <v>Date</v>
      </c>
      <c r="AW7" s="194" t="str">
        <f>IF($J$1="ENG","CAR","Н2")</f>
        <v>CAR</v>
      </c>
      <c r="AX7" s="194" t="str">
        <f>IF($J$1="ENG","Core capital ratio","Н3")</f>
        <v>Core capital ratio</v>
      </c>
      <c r="AY7" s="196" t="str">
        <f>IF($J$1="ENG","baseline scenario","за базовим макроекономічним сценарієм")</f>
        <v>baseline scenario</v>
      </c>
      <c r="AZ7" s="196" t="str">
        <f>IF($J$1="ENG","adverse scenario","за несприятливим макроекономічним сценарієм")</f>
        <v>adverse scenario</v>
      </c>
      <c r="BA7" s="194" t="str">
        <f>IF($J$1="ENG","Date","Дата")</f>
        <v>Date</v>
      </c>
      <c r="BB7" s="196" t="str">
        <f>IF($J$1="ENG","baseline scenario","за базовим макроекономічним сценарієм")</f>
        <v>baseline scenario</v>
      </c>
      <c r="BC7" s="196" t="str">
        <f>IF($J$1="ENG","adverse scenario","за несприятливим макроекономічним сценарієм")</f>
        <v>adverse scenario</v>
      </c>
      <c r="BD7" s="194" t="str">
        <f>IF($J$1="ENG","CAR","Н2")</f>
        <v>CAR</v>
      </c>
      <c r="BE7" s="194" t="str">
        <f>IF($J$1="ENG","Core capital ratio","Н3")</f>
        <v>Core capital ratio</v>
      </c>
    </row>
    <row r="8" spans="1:57" ht="18.600000000000001" customHeight="1" x14ac:dyDescent="0.25">
      <c r="A8" s="210"/>
      <c r="B8" s="210"/>
      <c r="C8" s="210"/>
      <c r="D8" s="210"/>
      <c r="E8" s="206"/>
      <c r="F8" s="207"/>
      <c r="G8" s="207"/>
      <c r="H8" s="207"/>
      <c r="I8" s="209"/>
      <c r="J8" s="206"/>
      <c r="K8" s="207"/>
      <c r="L8" s="207"/>
      <c r="M8" s="207"/>
      <c r="N8" s="207"/>
      <c r="O8" s="209"/>
      <c r="P8" s="197" t="str">
        <f>IF($J$1="ENG","forecast year","прогнозний рік")</f>
        <v>forecast year</v>
      </c>
      <c r="Q8" s="197"/>
      <c r="R8" s="197"/>
      <c r="S8" s="197" t="str">
        <f>IF($J$1="ENG","forecast year","прогнозний рік")</f>
        <v>forecast year</v>
      </c>
      <c r="T8" s="197"/>
      <c r="U8" s="197"/>
      <c r="V8" s="197" t="str">
        <f>IF($J$1="ENG","forecast year","прогнозний рік")</f>
        <v>forecast year</v>
      </c>
      <c r="W8" s="197"/>
      <c r="X8" s="197"/>
      <c r="Y8" s="197" t="str">
        <f>IF($J$1="ENG","forecast year","прогнозний рік")</f>
        <v>forecast year</v>
      </c>
      <c r="Z8" s="197"/>
      <c r="AA8" s="197"/>
      <c r="AB8" s="197" t="str">
        <f>IF($J$1="ENG","forecast year","прогнозний рік")</f>
        <v>forecast year</v>
      </c>
      <c r="AC8" s="197"/>
      <c r="AD8" s="197"/>
      <c r="AE8" s="197" t="str">
        <f>IF($J$1="ENG","forecast year","прогнозний рік")</f>
        <v>forecast year</v>
      </c>
      <c r="AF8" s="197"/>
      <c r="AG8" s="197"/>
      <c r="AH8" s="197" t="str">
        <f>IF($J$1="ENG","forecast year","прогнозний рік")</f>
        <v>forecast year</v>
      </c>
      <c r="AI8" s="197"/>
      <c r="AJ8" s="197"/>
      <c r="AK8" s="197" t="str">
        <f>IF($J$1="ENG","forecast year","прогнозний рік")</f>
        <v>forecast year</v>
      </c>
      <c r="AL8" s="197"/>
      <c r="AM8" s="197"/>
      <c r="AN8" s="197" t="str">
        <f>IF($J$1="ENG","forecast year","прогнозний рік")</f>
        <v>forecast year</v>
      </c>
      <c r="AO8" s="197"/>
      <c r="AP8" s="197"/>
      <c r="AQ8" s="197" t="str">
        <f>IF($J$1="ENG","forecast year","прогнозний рік")</f>
        <v>forecast year</v>
      </c>
      <c r="AR8" s="197"/>
      <c r="AS8" s="197"/>
      <c r="AT8" s="195"/>
      <c r="AU8" s="195"/>
      <c r="AV8" s="195"/>
      <c r="AW8" s="195"/>
      <c r="AX8" s="195"/>
      <c r="AY8" s="196"/>
      <c r="AZ8" s="196"/>
      <c r="BA8" s="195"/>
      <c r="BB8" s="196"/>
      <c r="BC8" s="196"/>
      <c r="BD8" s="195"/>
      <c r="BE8" s="195"/>
    </row>
    <row r="9" spans="1:57" x14ac:dyDescent="0.25">
      <c r="A9" s="37">
        <v>1</v>
      </c>
      <c r="B9" s="37">
        <v>2</v>
      </c>
      <c r="C9" s="37">
        <v>3</v>
      </c>
      <c r="D9" s="37">
        <v>4</v>
      </c>
      <c r="E9" s="111">
        <v>5</v>
      </c>
      <c r="F9" s="111">
        <v>6</v>
      </c>
      <c r="G9" s="111">
        <v>7</v>
      </c>
      <c r="H9" s="111">
        <v>8</v>
      </c>
      <c r="I9" s="37"/>
      <c r="J9" s="108">
        <v>9</v>
      </c>
      <c r="K9" s="108">
        <v>10</v>
      </c>
      <c r="L9" s="111">
        <v>11</v>
      </c>
      <c r="M9" s="111">
        <v>12</v>
      </c>
      <c r="N9" s="111">
        <v>13</v>
      </c>
      <c r="O9" s="108"/>
      <c r="P9" s="108">
        <v>13</v>
      </c>
      <c r="Q9" s="108">
        <v>14</v>
      </c>
      <c r="R9" s="111">
        <v>15</v>
      </c>
      <c r="S9" s="111">
        <v>16</v>
      </c>
      <c r="T9" s="111">
        <v>17</v>
      </c>
      <c r="U9" s="111">
        <v>18</v>
      </c>
      <c r="V9" s="111">
        <v>19</v>
      </c>
      <c r="W9" s="111">
        <v>20</v>
      </c>
      <c r="X9" s="111">
        <v>21</v>
      </c>
      <c r="Y9" s="111">
        <v>22</v>
      </c>
      <c r="Z9" s="111">
        <v>23</v>
      </c>
      <c r="AA9" s="111">
        <v>24</v>
      </c>
      <c r="AB9" s="108"/>
      <c r="AC9" s="108"/>
      <c r="AD9" s="108"/>
      <c r="AE9" s="137">
        <v>25</v>
      </c>
      <c r="AF9" s="108">
        <v>26</v>
      </c>
      <c r="AG9" s="111">
        <v>27</v>
      </c>
      <c r="AH9" s="111">
        <v>28</v>
      </c>
      <c r="AI9" s="111">
        <v>29</v>
      </c>
      <c r="AJ9" s="111">
        <v>30</v>
      </c>
      <c r="AK9" s="111">
        <v>31</v>
      </c>
      <c r="AL9" s="111">
        <v>32</v>
      </c>
      <c r="AM9" s="111">
        <v>33</v>
      </c>
      <c r="AN9" s="111">
        <v>34</v>
      </c>
      <c r="AO9" s="111">
        <v>35</v>
      </c>
      <c r="AP9" s="111">
        <v>36</v>
      </c>
      <c r="AQ9" s="108"/>
      <c r="AR9" s="108"/>
      <c r="AS9" s="108"/>
      <c r="AT9" s="111">
        <v>37</v>
      </c>
      <c r="AU9" s="111">
        <v>38</v>
      </c>
      <c r="AV9" s="111">
        <v>39</v>
      </c>
      <c r="AW9" s="111">
        <v>40</v>
      </c>
      <c r="AX9" s="111">
        <v>41</v>
      </c>
      <c r="AY9" s="111">
        <v>42</v>
      </c>
      <c r="AZ9" s="111">
        <v>43</v>
      </c>
      <c r="BA9" s="111">
        <v>44</v>
      </c>
      <c r="BB9" s="111">
        <v>45</v>
      </c>
      <c r="BC9" s="111">
        <v>46</v>
      </c>
      <c r="BD9" s="111">
        <v>47</v>
      </c>
      <c r="BE9" s="111">
        <v>48</v>
      </c>
    </row>
    <row r="10" spans="1:57" x14ac:dyDescent="0.25">
      <c r="A10" s="31">
        <v>1</v>
      </c>
      <c r="B10" s="31">
        <v>96</v>
      </c>
      <c r="C10" s="70" t="str">
        <f>IF($J$1="ENG","A-Bank","А-Банк")</f>
        <v>A-Bank</v>
      </c>
      <c r="D10" s="130" t="str">
        <f>IF($J$1="ENG","Private banks","Банки з приватним капіталом")</f>
        <v>Private banks</v>
      </c>
      <c r="E10" s="32">
        <v>280.12900000000002</v>
      </c>
      <c r="F10" s="32">
        <v>560.25699999999995</v>
      </c>
      <c r="G10" s="168">
        <v>0.1427431334724325</v>
      </c>
      <c r="H10" s="168">
        <v>7.1371566736216252E-2</v>
      </c>
      <c r="I10" s="32">
        <f t="shared" ref="I10:I38" si="1">E10/H10</f>
        <v>3924.9383586510712</v>
      </c>
      <c r="J10" s="37" t="str">
        <f t="shared" ref="J10:J38" si="2">IF($J$1="ENG","no","ні")</f>
        <v>no</v>
      </c>
      <c r="K10" s="32">
        <v>280.12900000000002</v>
      </c>
      <c r="L10" s="32">
        <v>560.25699999999995</v>
      </c>
      <c r="M10" s="168">
        <v>0.1427431334724325</v>
      </c>
      <c r="N10" s="168">
        <v>7.1371566736216252E-2</v>
      </c>
      <c r="O10" s="32">
        <f t="shared" ref="O10:O38" si="3">K10/N10</f>
        <v>3924.9383586510712</v>
      </c>
      <c r="P10" s="32">
        <v>781.71600000000001</v>
      </c>
      <c r="Q10" s="32">
        <v>1090.731</v>
      </c>
      <c r="R10" s="32">
        <v>1337.048</v>
      </c>
      <c r="S10" s="32">
        <v>783.42600000000004</v>
      </c>
      <c r="T10" s="32">
        <v>1092.441</v>
      </c>
      <c r="U10" s="32">
        <v>1338.758</v>
      </c>
      <c r="V10" s="168">
        <v>0.1980602591450345</v>
      </c>
      <c r="W10" s="168">
        <v>0.27571871265129244</v>
      </c>
      <c r="X10" s="168">
        <v>0.33834863794522357</v>
      </c>
      <c r="Y10" s="168">
        <v>0.1976279539339417</v>
      </c>
      <c r="Z10" s="168">
        <v>0.27528713468302457</v>
      </c>
      <c r="AA10" s="168">
        <v>0.33791646950504406</v>
      </c>
      <c r="AB10" s="32">
        <f t="shared" ref="AB10:AB38" si="4">P10/Y10</f>
        <v>3955.4930587466042</v>
      </c>
      <c r="AC10" s="32">
        <f t="shared" ref="AC10:AC38" si="5">Q10/Z10</f>
        <v>3962.157553261276</v>
      </c>
      <c r="AD10" s="32">
        <f t="shared" ref="AD10:AD38" si="6">R10/AA10</f>
        <v>3956.7411495462547</v>
      </c>
      <c r="AE10" s="32">
        <v>159.06399999999999</v>
      </c>
      <c r="AF10" s="32">
        <v>59.561999999999998</v>
      </c>
      <c r="AG10" s="32">
        <v>140.327</v>
      </c>
      <c r="AH10" s="32">
        <v>160.774</v>
      </c>
      <c r="AI10" s="32">
        <v>61.271999999999998</v>
      </c>
      <c r="AJ10" s="32">
        <v>142.03700000000001</v>
      </c>
      <c r="AK10" s="168">
        <v>4.4363594904669533E-2</v>
      </c>
      <c r="AL10" s="168">
        <v>1.7563387901362436E-2</v>
      </c>
      <c r="AM10" s="168">
        <v>4.0676588104301734E-2</v>
      </c>
      <c r="AN10" s="168">
        <v>4.3891747868960745E-2</v>
      </c>
      <c r="AO10" s="168">
        <v>1.7073231682355011E-2</v>
      </c>
      <c r="AP10" s="168">
        <v>4.0186884689527198E-2</v>
      </c>
      <c r="AQ10" s="32">
        <f t="shared" ref="AQ10:AQ38" si="7">AE10/AN10</f>
        <v>3624.0069653841801</v>
      </c>
      <c r="AR10" s="32">
        <f t="shared" ref="AR10:AR38" si="8">AF10/AO10</f>
        <v>3488.6189743185319</v>
      </c>
      <c r="AS10" s="32">
        <f t="shared" ref="AS10:AS38" si="9">AG10/AP10</f>
        <v>3491.8606178141886</v>
      </c>
      <c r="AT10" s="104">
        <v>0.129</v>
      </c>
      <c r="AU10" s="104">
        <v>0.11600000000000001</v>
      </c>
      <c r="AV10" s="142">
        <v>43709</v>
      </c>
      <c r="AW10" s="104">
        <v>0.112</v>
      </c>
      <c r="AX10" s="104">
        <v>7.0000000000000007E-2</v>
      </c>
      <c r="AY10" s="32">
        <v>0</v>
      </c>
      <c r="AZ10" s="32">
        <v>113.16</v>
      </c>
      <c r="BA10" s="140">
        <f t="shared" ref="BA10:BA38" si="10">AV10</f>
        <v>43709</v>
      </c>
      <c r="BB10" s="32">
        <v>0</v>
      </c>
      <c r="BC10" s="32">
        <v>48</v>
      </c>
      <c r="BD10" s="104">
        <v>0.152</v>
      </c>
      <c r="BE10" s="104">
        <v>0.10100000000000001</v>
      </c>
    </row>
    <row r="11" spans="1:57" x14ac:dyDescent="0.25">
      <c r="A11" s="31">
        <v>2</v>
      </c>
      <c r="B11" s="31">
        <v>272</v>
      </c>
      <c r="C11" s="70" t="str">
        <f>IF($J$1="ENG","Alfa-Bank**","Альфа-Банк**")</f>
        <v>Alfa-Bank**</v>
      </c>
      <c r="D11" s="130" t="str">
        <f>IF($J$1="ENG","Foreign banks","Банки іноземних банківських груп")</f>
        <v>Foreign banks</v>
      </c>
      <c r="E11" s="32">
        <v>3362.172</v>
      </c>
      <c r="F11" s="32">
        <v>5863.9089999999997</v>
      </c>
      <c r="G11" s="168">
        <v>0.13949784305585058</v>
      </c>
      <c r="H11" s="168">
        <v>7.9983460773376577E-2</v>
      </c>
      <c r="I11" s="32">
        <f t="shared" si="1"/>
        <v>42035.840503654952</v>
      </c>
      <c r="J11" s="92" t="str">
        <f t="shared" si="2"/>
        <v>no</v>
      </c>
      <c r="K11" s="32">
        <v>3362.172</v>
      </c>
      <c r="L11" s="32">
        <v>5863.9089999999997</v>
      </c>
      <c r="M11" s="168">
        <v>0.13949784305585058</v>
      </c>
      <c r="N11" s="168">
        <v>7.9983460773376577E-2</v>
      </c>
      <c r="O11" s="32">
        <f t="shared" si="3"/>
        <v>42035.840503654952</v>
      </c>
      <c r="P11" s="32">
        <v>5460.2</v>
      </c>
      <c r="Q11" s="32">
        <v>8245.3109999999997</v>
      </c>
      <c r="R11" s="32">
        <v>11012.887000000001</v>
      </c>
      <c r="S11" s="32">
        <v>6956.2579999999998</v>
      </c>
      <c r="T11" s="32">
        <v>9482.8089999999993</v>
      </c>
      <c r="U11" s="32">
        <v>11950.09</v>
      </c>
      <c r="V11" s="168">
        <v>0.16665664001347757</v>
      </c>
      <c r="W11" s="168">
        <v>0.22449682835150889</v>
      </c>
      <c r="X11" s="168">
        <v>0.28432083256213198</v>
      </c>
      <c r="Y11" s="168">
        <v>0.13081438628330117</v>
      </c>
      <c r="Z11" s="168">
        <v>0.19520018851154744</v>
      </c>
      <c r="AA11" s="168">
        <v>0.2620225684819964</v>
      </c>
      <c r="AB11" s="32">
        <f t="shared" si="4"/>
        <v>41740.057459544187</v>
      </c>
      <c r="AC11" s="32">
        <f t="shared" si="5"/>
        <v>42240.281952966623</v>
      </c>
      <c r="AD11" s="32">
        <f t="shared" si="6"/>
        <v>42030.299389102802</v>
      </c>
      <c r="AE11" s="32">
        <v>1553.2639999999999</v>
      </c>
      <c r="AF11" s="32">
        <v>2443.4609999999998</v>
      </c>
      <c r="AG11" s="32">
        <v>4758.8159999999998</v>
      </c>
      <c r="AH11" s="32">
        <v>3106.1970000000001</v>
      </c>
      <c r="AI11" s="32">
        <v>4063.7089999999998</v>
      </c>
      <c r="AJ11" s="32">
        <v>6025.835</v>
      </c>
      <c r="AK11" s="168">
        <v>7.0219767666313937E-2</v>
      </c>
      <c r="AL11" s="168">
        <v>8.8877829784774681E-2</v>
      </c>
      <c r="AM11" s="168">
        <v>0.13005274769735597</v>
      </c>
      <c r="AN11" s="168">
        <v>3.5113613879972062E-2</v>
      </c>
      <c r="AO11" s="168">
        <v>5.3441205070369723E-2</v>
      </c>
      <c r="AP11" s="168">
        <v>0.10270727840912962</v>
      </c>
      <c r="AQ11" s="32">
        <f t="shared" si="7"/>
        <v>44235.378486232752</v>
      </c>
      <c r="AR11" s="32">
        <f t="shared" si="8"/>
        <v>45722.415817205583</v>
      </c>
      <c r="AS11" s="32">
        <f t="shared" si="9"/>
        <v>46333.775694488562</v>
      </c>
      <c r="AT11" s="104">
        <v>0.1</v>
      </c>
      <c r="AU11" s="104">
        <v>7.0000000000000007E-2</v>
      </c>
      <c r="AV11" s="142">
        <v>43709</v>
      </c>
      <c r="AW11" s="167">
        <v>0.1</v>
      </c>
      <c r="AX11" s="167">
        <v>7.0000000000000007E-2</v>
      </c>
      <c r="AY11" s="32">
        <v>0</v>
      </c>
      <c r="AZ11" s="32">
        <v>0</v>
      </c>
      <c r="BA11" s="140">
        <f t="shared" si="10"/>
        <v>43709</v>
      </c>
      <c r="BB11" s="32">
        <v>0</v>
      </c>
      <c r="BC11" s="132">
        <v>0</v>
      </c>
      <c r="BD11" s="104">
        <v>0.151</v>
      </c>
      <c r="BE11" s="104">
        <v>0.128</v>
      </c>
    </row>
    <row r="12" spans="1:57" x14ac:dyDescent="0.25">
      <c r="A12" s="31">
        <v>3</v>
      </c>
      <c r="B12" s="31">
        <v>320</v>
      </c>
      <c r="C12" s="70" t="str">
        <f>IF($J$1="ENG","Bank for Investments and Savings","Банк Інвестицій та Заощаджень")</f>
        <v>Bank for Investments and Savings</v>
      </c>
      <c r="D12" s="130" t="str">
        <f>IF($J$1="ENG","Private banks","Банки з приватним капіталом")</f>
        <v>Private banks</v>
      </c>
      <c r="E12" s="32">
        <v>370.38200000000001</v>
      </c>
      <c r="F12" s="32">
        <v>370.38200000000001</v>
      </c>
      <c r="G12" s="168">
        <v>0.11335209769537052</v>
      </c>
      <c r="H12" s="168">
        <v>0.11335209769537052</v>
      </c>
      <c r="I12" s="32">
        <f t="shared" si="1"/>
        <v>3267.5354716009547</v>
      </c>
      <c r="J12" s="92" t="str">
        <f t="shared" si="2"/>
        <v>no</v>
      </c>
      <c r="K12" s="32">
        <v>309.28699999999998</v>
      </c>
      <c r="L12" s="32">
        <v>309.28699999999998</v>
      </c>
      <c r="M12" s="168">
        <v>9.6457926923139078E-2</v>
      </c>
      <c r="N12" s="168">
        <v>9.6457926923139078E-2</v>
      </c>
      <c r="O12" s="32">
        <f t="shared" si="3"/>
        <v>3206.4446113013632</v>
      </c>
      <c r="P12" s="32">
        <v>-295.00900000000001</v>
      </c>
      <c r="Q12" s="32">
        <v>-360.88400000000001</v>
      </c>
      <c r="R12" s="32">
        <v>-452.92700000000002</v>
      </c>
      <c r="S12" s="32">
        <v>-295.00900000000001</v>
      </c>
      <c r="T12" s="32">
        <v>-360.88400000000001</v>
      </c>
      <c r="U12" s="32">
        <v>-452.92700000000002</v>
      </c>
      <c r="V12" s="168">
        <v>-0.10851592833159918</v>
      </c>
      <c r="W12" s="168">
        <v>-0.13484852739398903</v>
      </c>
      <c r="X12" s="168">
        <v>-0.17669295013747233</v>
      </c>
      <c r="Y12" s="168">
        <v>-0.10851592833159918</v>
      </c>
      <c r="Z12" s="168">
        <v>-0.13484852739398903</v>
      </c>
      <c r="AA12" s="168">
        <v>-0.17669295013747233</v>
      </c>
      <c r="AB12" s="32">
        <f t="shared" si="4"/>
        <v>2718.5778579760367</v>
      </c>
      <c r="AC12" s="32">
        <f t="shared" si="5"/>
        <v>2676.217582603625</v>
      </c>
      <c r="AD12" s="32">
        <f t="shared" si="6"/>
        <v>2563.3563741372218</v>
      </c>
      <c r="AE12" s="32">
        <v>-710.26400000000001</v>
      </c>
      <c r="AF12" s="32">
        <v>-916.02700000000004</v>
      </c>
      <c r="AG12" s="32">
        <v>-1024.9159999999999</v>
      </c>
      <c r="AH12" s="32">
        <v>-710.26400000000001</v>
      </c>
      <c r="AI12" s="32">
        <v>-916.02700000000004</v>
      </c>
      <c r="AJ12" s="32">
        <v>-1024.9159999999999</v>
      </c>
      <c r="AK12" s="168">
        <v>-0.26379159760221726</v>
      </c>
      <c r="AL12" s="168">
        <v>-0.34621869229629282</v>
      </c>
      <c r="AM12" s="168">
        <v>-0.40257475217667732</v>
      </c>
      <c r="AN12" s="168">
        <v>-0.26379159760221726</v>
      </c>
      <c r="AO12" s="168">
        <v>-0.34621869229629282</v>
      </c>
      <c r="AP12" s="168">
        <v>-0.40257475217667732</v>
      </c>
      <c r="AQ12" s="32">
        <f t="shared" si="7"/>
        <v>2692.5194223624885</v>
      </c>
      <c r="AR12" s="32">
        <f t="shared" si="8"/>
        <v>2645.8045749189855</v>
      </c>
      <c r="AS12" s="32">
        <f t="shared" si="9"/>
        <v>2545.9023310786183</v>
      </c>
      <c r="AT12" s="104">
        <v>0.46899999999999997</v>
      </c>
      <c r="AU12" s="104">
        <v>0.44400000000000001</v>
      </c>
      <c r="AV12" s="142">
        <v>43739</v>
      </c>
      <c r="AW12" s="104">
        <v>0.312</v>
      </c>
      <c r="AX12" s="104">
        <v>0.28100000000000003</v>
      </c>
      <c r="AY12" s="32">
        <v>713.91899999999998</v>
      </c>
      <c r="AZ12" s="32">
        <v>1154.4110000000001</v>
      </c>
      <c r="BA12" s="140">
        <f t="shared" si="10"/>
        <v>43739</v>
      </c>
      <c r="BB12" s="88">
        <v>306.58800000000002</v>
      </c>
      <c r="BC12" s="88">
        <v>639.73699999999997</v>
      </c>
      <c r="BD12" s="104">
        <v>0.129</v>
      </c>
      <c r="BE12" s="104">
        <v>0.125</v>
      </c>
    </row>
    <row r="13" spans="1:57" x14ac:dyDescent="0.25">
      <c r="A13" s="31">
        <v>4</v>
      </c>
      <c r="B13" s="31">
        <v>305</v>
      </c>
      <c r="C13" s="70" t="str">
        <f>IF($J$1="ENG","Vostok","Восток")</f>
        <v>Vostok</v>
      </c>
      <c r="D13" s="130" t="str">
        <f>IF($J$1="ENG","Private banks","Банки з приватним капіталом")</f>
        <v>Private banks</v>
      </c>
      <c r="E13" s="32">
        <v>530.19200000000001</v>
      </c>
      <c r="F13" s="32">
        <v>803.76700000000005</v>
      </c>
      <c r="G13" s="168">
        <v>0.1159</v>
      </c>
      <c r="H13" s="168">
        <v>7.6485229975919611E-2</v>
      </c>
      <c r="I13" s="32">
        <f t="shared" si="1"/>
        <v>6931.9527465227484</v>
      </c>
      <c r="J13" s="106" t="str">
        <f t="shared" si="2"/>
        <v>no</v>
      </c>
      <c r="K13" s="32">
        <v>530.19200000000001</v>
      </c>
      <c r="L13" s="32">
        <v>802.173</v>
      </c>
      <c r="M13" s="168">
        <v>0.11572094016648179</v>
      </c>
      <c r="N13" s="168">
        <v>7.6485229975919611E-2</v>
      </c>
      <c r="O13" s="32">
        <f t="shared" si="3"/>
        <v>6931.9527465227484</v>
      </c>
      <c r="P13" s="32">
        <v>570.74699999999996</v>
      </c>
      <c r="Q13" s="32">
        <v>565.47500000000002</v>
      </c>
      <c r="R13" s="32">
        <v>585.36800000000005</v>
      </c>
      <c r="S13" s="32">
        <v>690.45799999999997</v>
      </c>
      <c r="T13" s="32">
        <v>689.25800000000004</v>
      </c>
      <c r="U13" s="32">
        <v>710.37199999999996</v>
      </c>
      <c r="V13" s="168">
        <v>9.9369295927376686E-2</v>
      </c>
      <c r="W13" s="168">
        <v>9.9107622734065273E-2</v>
      </c>
      <c r="X13" s="168">
        <v>0.10262369213833133</v>
      </c>
      <c r="Y13" s="168">
        <v>8.2140725395198066E-2</v>
      </c>
      <c r="Z13" s="168">
        <v>8.1309032788564481E-2</v>
      </c>
      <c r="AA13" s="168">
        <v>8.4564976963320077E-2</v>
      </c>
      <c r="AB13" s="32">
        <f t="shared" si="4"/>
        <v>6948.4046708134592</v>
      </c>
      <c r="AC13" s="32">
        <f t="shared" si="5"/>
        <v>6954.6393630146576</v>
      </c>
      <c r="AD13" s="32">
        <f t="shared" si="6"/>
        <v>6922.1091404530562</v>
      </c>
      <c r="AE13" s="32">
        <v>-38.46</v>
      </c>
      <c r="AF13" s="32">
        <v>-352.30200000000002</v>
      </c>
      <c r="AG13" s="32">
        <v>-483.92099999999999</v>
      </c>
      <c r="AH13" s="32">
        <v>-38.46</v>
      </c>
      <c r="AI13" s="32">
        <v>-352.30200000000002</v>
      </c>
      <c r="AJ13" s="32">
        <v>-483.92099999999999</v>
      </c>
      <c r="AK13" s="168">
        <v>-5.1697873802773759E-3</v>
      </c>
      <c r="AL13" s="168">
        <v>-4.5843231210577061E-2</v>
      </c>
      <c r="AM13" s="168">
        <v>-6.2470844854968247E-2</v>
      </c>
      <c r="AN13" s="168">
        <v>-5.1697873802773759E-3</v>
      </c>
      <c r="AO13" s="168">
        <v>-4.5843231210577061E-2</v>
      </c>
      <c r="AP13" s="168">
        <v>-6.2470844854968247E-2</v>
      </c>
      <c r="AQ13" s="32">
        <f t="shared" si="7"/>
        <v>7439.3775161284284</v>
      </c>
      <c r="AR13" s="32">
        <f t="shared" si="8"/>
        <v>7684.9295020617146</v>
      </c>
      <c r="AS13" s="32">
        <f t="shared" si="9"/>
        <v>7746.3495351066031</v>
      </c>
      <c r="AT13" s="104">
        <v>0.20899999999999999</v>
      </c>
      <c r="AU13" s="104">
        <v>0.20799999999999999</v>
      </c>
      <c r="AV13" s="142">
        <v>43709</v>
      </c>
      <c r="AW13" s="104">
        <v>0.14199999999999999</v>
      </c>
      <c r="AX13" s="104">
        <v>0.14199999999999999</v>
      </c>
      <c r="AY13" s="32">
        <v>6.2060000000000004</v>
      </c>
      <c r="AZ13" s="32">
        <v>755.04399999999998</v>
      </c>
      <c r="BA13" s="140">
        <f t="shared" si="10"/>
        <v>43709</v>
      </c>
      <c r="BB13" s="32">
        <v>0</v>
      </c>
      <c r="BC13" s="32">
        <v>299.67599999999999</v>
      </c>
      <c r="BD13" s="104">
        <v>0.123</v>
      </c>
      <c r="BE13" s="104">
        <v>8.5000000000000006E-2</v>
      </c>
    </row>
    <row r="14" spans="1:57" x14ac:dyDescent="0.25">
      <c r="A14" s="31">
        <v>5</v>
      </c>
      <c r="B14" s="31">
        <v>386</v>
      </c>
      <c r="C14" s="70" t="str">
        <f>IF($J$1="ENG","Globus","Глобус")</f>
        <v>Globus</v>
      </c>
      <c r="D14" s="130" t="str">
        <f>IF($J$1="ENG","Private banks","Банки з приватним капіталом")</f>
        <v>Private banks</v>
      </c>
      <c r="E14" s="32">
        <v>179.06100000000001</v>
      </c>
      <c r="F14" s="32">
        <v>285.577</v>
      </c>
      <c r="G14" s="168">
        <v>0.12900903886045093</v>
      </c>
      <c r="H14" s="168">
        <v>8.0890496255397445E-2</v>
      </c>
      <c r="I14" s="32">
        <f t="shared" si="1"/>
        <v>2213.6222212637508</v>
      </c>
      <c r="J14" s="92" t="str">
        <f t="shared" si="2"/>
        <v>no</v>
      </c>
      <c r="K14" s="32">
        <v>165.18700000000001</v>
      </c>
      <c r="L14" s="32">
        <v>271.70299999999997</v>
      </c>
      <c r="M14" s="168">
        <v>0.12351552011322585</v>
      </c>
      <c r="N14" s="168">
        <v>7.5093496868266316E-2</v>
      </c>
      <c r="O14" s="32">
        <f t="shared" si="3"/>
        <v>2199.7510688546217</v>
      </c>
      <c r="P14" s="32">
        <v>151.154</v>
      </c>
      <c r="Q14" s="32">
        <v>170.09399999999999</v>
      </c>
      <c r="R14" s="32">
        <v>195.35300000000001</v>
      </c>
      <c r="S14" s="32">
        <v>261.43299999999999</v>
      </c>
      <c r="T14" s="32">
        <v>282.08300000000003</v>
      </c>
      <c r="U14" s="32">
        <v>307.85399999999998</v>
      </c>
      <c r="V14" s="168">
        <v>0.12005548303962756</v>
      </c>
      <c r="W14" s="168">
        <v>0.13016409780849228</v>
      </c>
      <c r="X14" s="168">
        <v>0.14334132616798245</v>
      </c>
      <c r="Y14" s="168">
        <v>6.9413202500486645E-2</v>
      </c>
      <c r="Z14" s="168">
        <v>7.8488078886807741E-2</v>
      </c>
      <c r="AA14" s="168">
        <v>9.0958885938038733E-2</v>
      </c>
      <c r="AB14" s="32">
        <f t="shared" si="4"/>
        <v>2177.597266153226</v>
      </c>
      <c r="AC14" s="32">
        <f t="shared" si="5"/>
        <v>2167.1316512320618</v>
      </c>
      <c r="AD14" s="32">
        <f t="shared" si="6"/>
        <v>2147.7066037624363</v>
      </c>
      <c r="AE14" s="32">
        <v>-63.945</v>
      </c>
      <c r="AF14" s="32">
        <v>-220.72800000000001</v>
      </c>
      <c r="AG14" s="32">
        <v>-299.82400000000001</v>
      </c>
      <c r="AH14" s="32">
        <v>-63.945</v>
      </c>
      <c r="AI14" s="32">
        <v>-220.72800000000001</v>
      </c>
      <c r="AJ14" s="32">
        <v>-299.82400000000001</v>
      </c>
      <c r="AK14" s="168">
        <v>-2.9399209077416399E-2</v>
      </c>
      <c r="AL14" s="168">
        <v>-0.10185573319522107</v>
      </c>
      <c r="AM14" s="168">
        <v>-0.13902020157100786</v>
      </c>
      <c r="AN14" s="168">
        <v>-2.9399209077416399E-2</v>
      </c>
      <c r="AO14" s="168">
        <v>-0.10185573319522107</v>
      </c>
      <c r="AP14" s="168">
        <v>-0.13902020157100786</v>
      </c>
      <c r="AQ14" s="32">
        <f t="shared" si="7"/>
        <v>2175.0585137040525</v>
      </c>
      <c r="AR14" s="32">
        <f t="shared" si="8"/>
        <v>2167.0650544230361</v>
      </c>
      <c r="AS14" s="32">
        <f t="shared" si="9"/>
        <v>2156.6937510650769</v>
      </c>
      <c r="AT14" s="104">
        <v>0.246</v>
      </c>
      <c r="AU14" s="104">
        <v>0.246</v>
      </c>
      <c r="AV14" s="142">
        <v>43739</v>
      </c>
      <c r="AW14" s="104">
        <v>0.16900000000000001</v>
      </c>
      <c r="AX14" s="104">
        <v>0.16900000000000001</v>
      </c>
      <c r="AY14" s="32">
        <v>1.278</v>
      </c>
      <c r="AZ14" s="32">
        <v>375.30799999999999</v>
      </c>
      <c r="BA14" s="140">
        <f t="shared" si="10"/>
        <v>43739</v>
      </c>
      <c r="BB14" s="32">
        <v>0</v>
      </c>
      <c r="BC14" s="32">
        <v>206.69900000000001</v>
      </c>
      <c r="BD14" s="104">
        <v>0.14099999999999999</v>
      </c>
      <c r="BE14" s="104">
        <v>9.8000000000000004E-2</v>
      </c>
    </row>
    <row r="15" spans="1:57" x14ac:dyDescent="0.25">
      <c r="A15" s="31">
        <v>6</v>
      </c>
      <c r="B15" s="31">
        <v>142</v>
      </c>
      <c r="C15" s="70" t="str">
        <f>IF($J$1="ENG","Idea Bank","Ідея Банк")</f>
        <v>Idea Bank</v>
      </c>
      <c r="D15" s="130" t="str">
        <f>IF($J$1="ENG","Foreign banks","Банки іноземних банківських груп")</f>
        <v>Foreign banks</v>
      </c>
      <c r="E15" s="32">
        <v>303.012</v>
      </c>
      <c r="F15" s="32">
        <v>606.02499999999998</v>
      </c>
      <c r="G15" s="168">
        <v>0.17238950878204098</v>
      </c>
      <c r="H15" s="168">
        <v>8.6194754391020492E-2</v>
      </c>
      <c r="I15" s="32">
        <f t="shared" si="1"/>
        <v>3515.4343456377069</v>
      </c>
      <c r="J15" s="106" t="str">
        <f t="shared" si="2"/>
        <v>no</v>
      </c>
      <c r="K15" s="32">
        <v>303.012</v>
      </c>
      <c r="L15" s="32">
        <v>606.02499999999998</v>
      </c>
      <c r="M15" s="168">
        <v>0.17238950878204098</v>
      </c>
      <c r="N15" s="168">
        <v>8.6194754391020492E-2</v>
      </c>
      <c r="O15" s="32">
        <f t="shared" si="3"/>
        <v>3515.4343456377069</v>
      </c>
      <c r="P15" s="32">
        <v>1171.7539999999999</v>
      </c>
      <c r="Q15" s="32">
        <v>1881.1389999999999</v>
      </c>
      <c r="R15" s="32">
        <v>2526.828</v>
      </c>
      <c r="S15" s="32">
        <v>1287.8620000000001</v>
      </c>
      <c r="T15" s="32">
        <v>2000.1990000000001</v>
      </c>
      <c r="U15" s="32">
        <v>2646.7739999999999</v>
      </c>
      <c r="V15" s="168">
        <v>0.36787638152332169</v>
      </c>
      <c r="W15" s="168">
        <v>0.5705125911638248</v>
      </c>
      <c r="X15" s="168">
        <v>0.7552121264453262</v>
      </c>
      <c r="Y15" s="168">
        <v>0.33471025004396932</v>
      </c>
      <c r="Z15" s="168">
        <v>0.5365533305897241</v>
      </c>
      <c r="AA15" s="168">
        <v>0.72098764548477157</v>
      </c>
      <c r="AB15" s="32">
        <f t="shared" si="4"/>
        <v>3500.8010655367502</v>
      </c>
      <c r="AC15" s="32">
        <f t="shared" si="5"/>
        <v>3505.9683590677664</v>
      </c>
      <c r="AD15" s="32">
        <f t="shared" si="6"/>
        <v>3504.6758648701016</v>
      </c>
      <c r="AE15" s="32">
        <v>637.20299999999997</v>
      </c>
      <c r="AF15" s="32">
        <v>950.41399999999999</v>
      </c>
      <c r="AG15" s="32">
        <v>1437.539</v>
      </c>
      <c r="AH15" s="32">
        <v>771.024</v>
      </c>
      <c r="AI15" s="32">
        <v>1097.2239999999999</v>
      </c>
      <c r="AJ15" s="32">
        <v>1589.366</v>
      </c>
      <c r="AK15" s="168">
        <v>0.24496525114635836</v>
      </c>
      <c r="AL15" s="168">
        <v>0.36661090479612396</v>
      </c>
      <c r="AM15" s="168">
        <v>0.53077843006327685</v>
      </c>
      <c r="AN15" s="168">
        <v>0.20244860494653052</v>
      </c>
      <c r="AO15" s="168">
        <v>0.31755806240792839</v>
      </c>
      <c r="AP15" s="168">
        <v>0.4800745786459375</v>
      </c>
      <c r="AQ15" s="32">
        <f t="shared" si="7"/>
        <v>3147.4803205894855</v>
      </c>
      <c r="AR15" s="32">
        <f t="shared" si="8"/>
        <v>2992.8826016677172</v>
      </c>
      <c r="AS15" s="32">
        <f t="shared" si="9"/>
        <v>2994.4076690222073</v>
      </c>
      <c r="AT15" s="104">
        <v>0.1</v>
      </c>
      <c r="AU15" s="104">
        <v>7.0000000000000007E-2</v>
      </c>
      <c r="AV15" s="142">
        <v>43709</v>
      </c>
      <c r="AW15" s="104">
        <v>0.1</v>
      </c>
      <c r="AX15" s="104">
        <v>7.0000000000000007E-2</v>
      </c>
      <c r="AY15" s="32">
        <v>0</v>
      </c>
      <c r="AZ15" s="32">
        <v>0</v>
      </c>
      <c r="BA15" s="140">
        <f t="shared" si="10"/>
        <v>43709</v>
      </c>
      <c r="BB15" s="32">
        <v>0</v>
      </c>
      <c r="BC15" s="32">
        <v>0</v>
      </c>
      <c r="BD15" s="104">
        <v>0.20399999999999999</v>
      </c>
      <c r="BE15" s="104">
        <v>0.10199999999999999</v>
      </c>
    </row>
    <row r="16" spans="1:57" x14ac:dyDescent="0.25">
      <c r="A16" s="31">
        <v>7</v>
      </c>
      <c r="B16" s="31">
        <v>101</v>
      </c>
      <c r="C16" s="70" t="str">
        <f>IF($J$1="ENG","Industrialbank","Індустріалбанк")</f>
        <v>Industrialbank</v>
      </c>
      <c r="D16" s="130" t="str">
        <f>IF($J$1="ENG","Private banks","Банки з приватним капіталом")</f>
        <v>Private banks</v>
      </c>
      <c r="E16" s="32">
        <v>889.93</v>
      </c>
      <c r="F16" s="32">
        <v>889.93</v>
      </c>
      <c r="G16" s="168">
        <v>0.35249999999999998</v>
      </c>
      <c r="H16" s="168">
        <v>0.35249999999999998</v>
      </c>
      <c r="I16" s="32">
        <f t="shared" si="1"/>
        <v>2524.6241134751772</v>
      </c>
      <c r="J16" s="92" t="str">
        <f t="shared" si="2"/>
        <v>no</v>
      </c>
      <c r="K16" s="32">
        <v>865.82100000000003</v>
      </c>
      <c r="L16" s="32">
        <v>865.82100000000003</v>
      </c>
      <c r="M16" s="168">
        <v>0.34629408832103137</v>
      </c>
      <c r="N16" s="168">
        <v>0.34629408832103137</v>
      </c>
      <c r="O16" s="32">
        <f t="shared" si="3"/>
        <v>2500.2477062136331</v>
      </c>
      <c r="P16" s="32">
        <v>810.44600000000003</v>
      </c>
      <c r="Q16" s="32">
        <v>675.86900000000003</v>
      </c>
      <c r="R16" s="32">
        <v>446.23599999999999</v>
      </c>
      <c r="S16" s="32">
        <v>810.44600000000003</v>
      </c>
      <c r="T16" s="32">
        <v>675.86900000000003</v>
      </c>
      <c r="U16" s="32">
        <v>446.23599999999999</v>
      </c>
      <c r="V16" s="168">
        <v>0.30955517106631286</v>
      </c>
      <c r="W16" s="168">
        <v>0.25729275391677298</v>
      </c>
      <c r="X16" s="168">
        <v>0.17677994430182939</v>
      </c>
      <c r="Y16" s="168">
        <v>0.30955517106631286</v>
      </c>
      <c r="Z16" s="168">
        <v>0.25729275391677298</v>
      </c>
      <c r="AA16" s="168">
        <v>0.17677994430182939</v>
      </c>
      <c r="AB16" s="32">
        <f t="shared" si="4"/>
        <v>2618.0987292452187</v>
      </c>
      <c r="AC16" s="32">
        <f t="shared" si="5"/>
        <v>2626.8481708529762</v>
      </c>
      <c r="AD16" s="32">
        <f t="shared" si="6"/>
        <v>2524.24561939056</v>
      </c>
      <c r="AE16" s="32">
        <v>602.60900000000004</v>
      </c>
      <c r="AF16" s="32">
        <v>349.76100000000002</v>
      </c>
      <c r="AG16" s="32">
        <v>71.194000000000003</v>
      </c>
      <c r="AH16" s="32">
        <v>602.60900000000004</v>
      </c>
      <c r="AI16" s="32">
        <v>349.76100000000002</v>
      </c>
      <c r="AJ16" s="32">
        <v>71.194000000000003</v>
      </c>
      <c r="AK16" s="168">
        <v>0.21408954561674892</v>
      </c>
      <c r="AL16" s="168">
        <v>0.1198997435005253</v>
      </c>
      <c r="AM16" s="168">
        <v>2.4756292734911353E-2</v>
      </c>
      <c r="AN16" s="168">
        <v>0.21408954561674892</v>
      </c>
      <c r="AO16" s="168">
        <v>0.1198997435005253</v>
      </c>
      <c r="AP16" s="168">
        <v>2.4756292734911353E-2</v>
      </c>
      <c r="AQ16" s="32">
        <f t="shared" si="7"/>
        <v>2814.7521088150506</v>
      </c>
      <c r="AR16" s="32">
        <f t="shared" si="8"/>
        <v>2917.1121621162406</v>
      </c>
      <c r="AS16" s="32">
        <f t="shared" si="9"/>
        <v>2875.7940763724346</v>
      </c>
      <c r="AT16" s="104">
        <v>0.375</v>
      </c>
      <c r="AU16" s="104">
        <v>0.35799999999999998</v>
      </c>
      <c r="AV16" s="142">
        <v>43739</v>
      </c>
      <c r="AW16" s="104">
        <v>0.1</v>
      </c>
      <c r="AX16" s="104">
        <v>7.0000000000000007E-2</v>
      </c>
      <c r="AY16" s="32">
        <v>0</v>
      </c>
      <c r="AZ16" s="32">
        <v>72.596000000000004</v>
      </c>
      <c r="BA16" s="140">
        <f t="shared" si="10"/>
        <v>43739</v>
      </c>
      <c r="BB16" s="32">
        <v>0</v>
      </c>
      <c r="BC16" s="32">
        <v>0</v>
      </c>
      <c r="BD16" s="104">
        <v>0.37</v>
      </c>
      <c r="BE16" s="104">
        <v>0.37</v>
      </c>
    </row>
    <row r="17" spans="1:57" x14ac:dyDescent="0.25">
      <c r="A17" s="31">
        <v>8</v>
      </c>
      <c r="B17" s="31">
        <v>270</v>
      </c>
      <c r="C17" s="70" t="str">
        <f>IF($J$1="ENG","Kredyt Dnipro","Кредит Дніпро")</f>
        <v>Kredyt Dnipro</v>
      </c>
      <c r="D17" s="130" t="str">
        <f>IF($J$1="ENG","Private banks","Банки з приватним капіталом")</f>
        <v>Private banks</v>
      </c>
      <c r="E17" s="32">
        <v>825.01499999999999</v>
      </c>
      <c r="F17" s="32">
        <v>914.39400000000001</v>
      </c>
      <c r="G17" s="168">
        <v>0.12411523057556857</v>
      </c>
      <c r="H17" s="168">
        <v>0.1119834313399858</v>
      </c>
      <c r="I17" s="32">
        <f t="shared" si="1"/>
        <v>7367.2952340174706</v>
      </c>
      <c r="J17" s="105" t="str">
        <f t="shared" si="2"/>
        <v>no</v>
      </c>
      <c r="K17" s="32">
        <v>373.53300000000002</v>
      </c>
      <c r="L17" s="32">
        <v>462.91199999999998</v>
      </c>
      <c r="M17" s="168">
        <v>6.8892796657211264E-2</v>
      </c>
      <c r="N17" s="168">
        <v>5.5591032426160751E-2</v>
      </c>
      <c r="O17" s="32">
        <f t="shared" si="3"/>
        <v>6719.3031627205037</v>
      </c>
      <c r="P17" s="32">
        <v>-609.88900000000001</v>
      </c>
      <c r="Q17" s="32">
        <v>-1181.0909999999999</v>
      </c>
      <c r="R17" s="32">
        <v>-1946.422</v>
      </c>
      <c r="S17" s="32">
        <v>-610.21900000000005</v>
      </c>
      <c r="T17" s="32">
        <v>-1181.421</v>
      </c>
      <c r="U17" s="32">
        <v>-1946.752</v>
      </c>
      <c r="V17" s="168">
        <v>-9.7947175192067873E-2</v>
      </c>
      <c r="W17" s="168">
        <v>-0.19684367991605614</v>
      </c>
      <c r="X17" s="168">
        <v>-0.35348423809601448</v>
      </c>
      <c r="Y17" s="168">
        <v>-9.7894206376578016E-2</v>
      </c>
      <c r="Z17" s="168">
        <v>-0.19678869664039553</v>
      </c>
      <c r="AA17" s="168">
        <v>-0.35342431788529582</v>
      </c>
      <c r="AB17" s="32">
        <f t="shared" si="4"/>
        <v>6230.0826838912999</v>
      </c>
      <c r="AC17" s="32">
        <f t="shared" si="5"/>
        <v>6001.8233778857857</v>
      </c>
      <c r="AD17" s="32">
        <f t="shared" si="6"/>
        <v>5507.3233546756483</v>
      </c>
      <c r="AE17" s="32">
        <v>-1507.03</v>
      </c>
      <c r="AF17" s="32">
        <v>-2522.2550000000001</v>
      </c>
      <c r="AG17" s="32">
        <v>-3586.5650000000001</v>
      </c>
      <c r="AH17" s="32">
        <v>-1507.36</v>
      </c>
      <c r="AI17" s="32">
        <v>-2522.585</v>
      </c>
      <c r="AJ17" s="32">
        <v>-3586.895</v>
      </c>
      <c r="AK17" s="168">
        <v>-0.23808278473397773</v>
      </c>
      <c r="AL17" s="168">
        <v>-0.41025278609851212</v>
      </c>
      <c r="AM17" s="168">
        <v>-0.62900365950322457</v>
      </c>
      <c r="AN17" s="168">
        <v>-0.23803066227673877</v>
      </c>
      <c r="AO17" s="168">
        <v>-0.41019911756621436</v>
      </c>
      <c r="AP17" s="168">
        <v>-0.62894579017217656</v>
      </c>
      <c r="AQ17" s="32">
        <f t="shared" si="7"/>
        <v>6331.2431498757896</v>
      </c>
      <c r="AR17" s="32">
        <f t="shared" si="8"/>
        <v>6148.8552558693827</v>
      </c>
      <c r="AS17" s="32">
        <f t="shared" si="9"/>
        <v>5702.502594091874</v>
      </c>
      <c r="AT17" s="104">
        <v>0.63400000000000001</v>
      </c>
      <c r="AU17" s="104">
        <v>0.61899999999999999</v>
      </c>
      <c r="AV17" s="142">
        <v>43709</v>
      </c>
      <c r="AW17" s="104">
        <v>0.434</v>
      </c>
      <c r="AX17" s="104">
        <v>0.42099999999999999</v>
      </c>
      <c r="AY17" s="32">
        <v>2429.4589999999998</v>
      </c>
      <c r="AZ17" s="32">
        <v>3791.7429999999999</v>
      </c>
      <c r="BA17" s="140">
        <f t="shared" si="10"/>
        <v>43709</v>
      </c>
      <c r="BB17" s="32">
        <v>1281.55</v>
      </c>
      <c r="BC17" s="32">
        <v>2455.8939999999998</v>
      </c>
      <c r="BD17" s="104">
        <v>0.154</v>
      </c>
      <c r="BE17" s="104">
        <v>0.14199999999999999</v>
      </c>
    </row>
    <row r="18" spans="1:57" x14ac:dyDescent="0.25">
      <c r="A18" s="31">
        <v>9</v>
      </c>
      <c r="B18" s="31">
        <v>171</v>
      </c>
      <c r="C18" s="70" t="str">
        <f>IF($J$1="ENG","Credit Agricole Bank","Креді Агріколь Банк")</f>
        <v>Credit Agricole Bank</v>
      </c>
      <c r="D18" s="130" t="str">
        <f>IF($J$1="ENG","Foreign banks","Банки іноземних банківських груп")</f>
        <v>Foreign banks</v>
      </c>
      <c r="E18" s="32">
        <v>2611.922</v>
      </c>
      <c r="F18" s="32">
        <v>4885.3100000000004</v>
      </c>
      <c r="G18" s="168">
        <v>0.1996572299364312</v>
      </c>
      <c r="H18" s="168">
        <v>0.10674778439334999</v>
      </c>
      <c r="I18" s="32">
        <f t="shared" si="1"/>
        <v>24468.161234854757</v>
      </c>
      <c r="J18" s="92" t="str">
        <f t="shared" si="2"/>
        <v>no</v>
      </c>
      <c r="K18" s="32">
        <v>2611.922</v>
      </c>
      <c r="L18" s="32">
        <v>4878.7960000000003</v>
      </c>
      <c r="M18" s="168">
        <v>0.19944672359214979</v>
      </c>
      <c r="N18" s="168">
        <v>0.10677620997447518</v>
      </c>
      <c r="O18" s="32">
        <f t="shared" si="3"/>
        <v>24461.647408391618</v>
      </c>
      <c r="P18" s="32">
        <v>4217.0640000000003</v>
      </c>
      <c r="Q18" s="32">
        <v>5367.7449999999999</v>
      </c>
      <c r="R18" s="32">
        <v>6471.3990000000003</v>
      </c>
      <c r="S18" s="32">
        <v>5366.9059999999999</v>
      </c>
      <c r="T18" s="32">
        <v>6556.7280000000001</v>
      </c>
      <c r="U18" s="32">
        <v>7672.1239999999998</v>
      </c>
      <c r="V18" s="168">
        <v>0.21591327790228307</v>
      </c>
      <c r="W18" s="168">
        <v>0.26223386311203012</v>
      </c>
      <c r="X18" s="168">
        <v>0.30776198198107807</v>
      </c>
      <c r="Y18" s="168">
        <v>0.16965459231645605</v>
      </c>
      <c r="Z18" s="168">
        <v>0.21468095581302818</v>
      </c>
      <c r="AA18" s="168">
        <v>0.25959572787800367</v>
      </c>
      <c r="AB18" s="32">
        <f t="shared" si="4"/>
        <v>24856.763040837275</v>
      </c>
      <c r="AC18" s="32">
        <f t="shared" si="5"/>
        <v>25003.358959678397</v>
      </c>
      <c r="AD18" s="32">
        <f t="shared" si="6"/>
        <v>24928.757699129845</v>
      </c>
      <c r="AE18" s="32">
        <v>3401.828</v>
      </c>
      <c r="AF18" s="32">
        <v>3990.5540000000001</v>
      </c>
      <c r="AG18" s="32">
        <v>4929.5029999999997</v>
      </c>
      <c r="AH18" s="32">
        <v>4786.5169999999998</v>
      </c>
      <c r="AI18" s="32">
        <v>5547.4639999999999</v>
      </c>
      <c r="AJ18" s="32">
        <v>6552.9530000000004</v>
      </c>
      <c r="AK18" s="168">
        <v>0.18464100340610523</v>
      </c>
      <c r="AL18" s="168">
        <v>0.20962216305304468</v>
      </c>
      <c r="AM18" s="168">
        <v>0.24666293115646232</v>
      </c>
      <c r="AN18" s="168">
        <v>0.13122632031034187</v>
      </c>
      <c r="AO18" s="168">
        <v>0.15079117236013281</v>
      </c>
      <c r="AP18" s="168">
        <v>0.18555385544951622</v>
      </c>
      <c r="AQ18" s="32">
        <f t="shared" si="7"/>
        <v>25923.366531614192</v>
      </c>
      <c r="AR18" s="32">
        <f t="shared" si="8"/>
        <v>26464.108856912433</v>
      </c>
      <c r="AS18" s="32">
        <f t="shared" si="9"/>
        <v>26566.427240533267</v>
      </c>
      <c r="AT18" s="104">
        <v>0.1</v>
      </c>
      <c r="AU18" s="104">
        <v>7.0000000000000007E-2</v>
      </c>
      <c r="AV18" s="142">
        <v>43709</v>
      </c>
      <c r="AW18" s="104">
        <v>0.1</v>
      </c>
      <c r="AX18" s="104">
        <v>7.0000000000000007E-2</v>
      </c>
      <c r="AY18" s="32">
        <v>0</v>
      </c>
      <c r="AZ18" s="32">
        <v>0</v>
      </c>
      <c r="BA18" s="140">
        <f t="shared" si="10"/>
        <v>43709</v>
      </c>
      <c r="BB18" s="32">
        <v>0</v>
      </c>
      <c r="BC18" s="32">
        <v>0</v>
      </c>
      <c r="BD18" s="104">
        <v>0.18</v>
      </c>
      <c r="BE18" s="104">
        <v>0.112</v>
      </c>
    </row>
    <row r="19" spans="1:57" s="134" customFormat="1" x14ac:dyDescent="0.25">
      <c r="A19" s="31">
        <v>10</v>
      </c>
      <c r="B19" s="31">
        <v>88</v>
      </c>
      <c r="C19" s="70" t="str">
        <f>IF($J$1="ENG","Kredobank","Кредобанк")</f>
        <v>Kredobank</v>
      </c>
      <c r="D19" s="130" t="str">
        <f>IF($J$1="ENG","Foreign banks","Банки іноземних банківських груп")</f>
        <v>Foreign banks</v>
      </c>
      <c r="E19" s="32">
        <v>1240.7539999999999</v>
      </c>
      <c r="F19" s="32">
        <v>1795.057</v>
      </c>
      <c r="G19" s="168">
        <v>0.16715315728033397</v>
      </c>
      <c r="H19" s="168">
        <v>0.11553730271859332</v>
      </c>
      <c r="I19" s="32">
        <f t="shared" si="1"/>
        <v>10738.990532105667</v>
      </c>
      <c r="J19" s="138" t="str">
        <f t="shared" si="2"/>
        <v>no</v>
      </c>
      <c r="K19" s="32">
        <v>1240.7539999999999</v>
      </c>
      <c r="L19" s="32">
        <v>1795.057</v>
      </c>
      <c r="M19" s="168">
        <v>0.16715315728033397</v>
      </c>
      <c r="N19" s="168">
        <v>0.11553730271859332</v>
      </c>
      <c r="O19" s="32">
        <f t="shared" si="3"/>
        <v>10738.990532105667</v>
      </c>
      <c r="P19" s="32">
        <v>2175.7060000000001</v>
      </c>
      <c r="Q19" s="32">
        <v>2657.79</v>
      </c>
      <c r="R19" s="32">
        <v>3082.1379999999999</v>
      </c>
      <c r="S19" s="32">
        <v>2282.5030000000002</v>
      </c>
      <c r="T19" s="32">
        <v>2764.587</v>
      </c>
      <c r="U19" s="32">
        <v>3188.9349999999999</v>
      </c>
      <c r="V19" s="168">
        <v>0.21073211896110014</v>
      </c>
      <c r="W19" s="168">
        <v>0.25463323745014405</v>
      </c>
      <c r="X19" s="168">
        <v>0.2960035865780653</v>
      </c>
      <c r="Y19" s="168">
        <v>0.20087205918263099</v>
      </c>
      <c r="Z19" s="168">
        <v>0.24479663910718699</v>
      </c>
      <c r="AA19" s="168">
        <v>0.28609044275418932</v>
      </c>
      <c r="AB19" s="32">
        <f t="shared" si="4"/>
        <v>10831.302316774025</v>
      </c>
      <c r="AC19" s="32">
        <f t="shared" si="5"/>
        <v>10857.134353205955</v>
      </c>
      <c r="AD19" s="32">
        <f t="shared" si="6"/>
        <v>10773.299416535183</v>
      </c>
      <c r="AE19" s="32">
        <v>1367.0250000000001</v>
      </c>
      <c r="AF19" s="32">
        <v>1448.934</v>
      </c>
      <c r="AG19" s="32">
        <v>1696.646</v>
      </c>
      <c r="AH19" s="32">
        <v>1473.8219999999999</v>
      </c>
      <c r="AI19" s="32">
        <v>1555.731</v>
      </c>
      <c r="AJ19" s="32">
        <v>1803.443</v>
      </c>
      <c r="AK19" s="168">
        <v>0.13564163965580681</v>
      </c>
      <c r="AL19" s="168">
        <v>0.14202328486450636</v>
      </c>
      <c r="AM19" s="168">
        <v>0.16533800007104399</v>
      </c>
      <c r="AN19" s="168">
        <v>0.12581266581447237</v>
      </c>
      <c r="AO19" s="168">
        <v>0.13227372356425743</v>
      </c>
      <c r="AP19" s="168">
        <v>0.15554692381417812</v>
      </c>
      <c r="AQ19" s="32">
        <f t="shared" si="7"/>
        <v>10865.559450237401</v>
      </c>
      <c r="AR19" s="32">
        <f t="shared" si="8"/>
        <v>10954.057699117546</v>
      </c>
      <c r="AS19" s="32">
        <f t="shared" si="9"/>
        <v>10907.615261018427</v>
      </c>
      <c r="AT19" s="104">
        <v>0.1</v>
      </c>
      <c r="AU19" s="104">
        <v>7.0000000000000007E-2</v>
      </c>
      <c r="AV19" s="142">
        <v>43709</v>
      </c>
      <c r="AW19" s="35">
        <v>0.1</v>
      </c>
      <c r="AX19" s="104">
        <v>7.0000000000000007E-2</v>
      </c>
      <c r="AY19" s="32">
        <v>0</v>
      </c>
      <c r="AZ19" s="32">
        <v>0</v>
      </c>
      <c r="BA19" s="140">
        <f t="shared" si="10"/>
        <v>43709</v>
      </c>
      <c r="BB19" s="59">
        <v>0</v>
      </c>
      <c r="BC19" s="32">
        <v>0</v>
      </c>
      <c r="BD19" s="104">
        <v>0.153</v>
      </c>
      <c r="BE19" s="104">
        <v>0.13700000000000001</v>
      </c>
    </row>
    <row r="20" spans="1:57" x14ac:dyDescent="0.25">
      <c r="A20" s="31">
        <v>11</v>
      </c>
      <c r="B20" s="31">
        <v>126</v>
      </c>
      <c r="C20" s="70" t="str">
        <f>IF($J$1="ENG","Megabank","Мегабанк")</f>
        <v>Megabank</v>
      </c>
      <c r="D20" s="130" t="str">
        <f>IF($J$1="ENG","Private banks","Банки з приватним капіталом")</f>
        <v>Private banks</v>
      </c>
      <c r="E20" s="32">
        <v>580.73299999999995</v>
      </c>
      <c r="F20" s="32">
        <v>767.70299999999997</v>
      </c>
      <c r="G20" s="168">
        <v>8.8275504676680994E-2</v>
      </c>
      <c r="H20" s="168">
        <v>6.6776503161393996E-2</v>
      </c>
      <c r="I20" s="32">
        <f t="shared" si="1"/>
        <v>8696.6668289953741</v>
      </c>
      <c r="J20" s="92" t="str">
        <f t="shared" si="2"/>
        <v>no</v>
      </c>
      <c r="K20" s="32">
        <v>547.82500000000005</v>
      </c>
      <c r="L20" s="32">
        <v>681.15</v>
      </c>
      <c r="M20" s="168">
        <v>7.9110414638626628E-2</v>
      </c>
      <c r="N20" s="168">
        <v>6.3625727736731003E-2</v>
      </c>
      <c r="O20" s="32">
        <f t="shared" si="3"/>
        <v>8610.1176283087407</v>
      </c>
      <c r="P20" s="32">
        <v>-395.01</v>
      </c>
      <c r="Q20" s="32">
        <v>-631.04100000000005</v>
      </c>
      <c r="R20" s="32">
        <v>-840.00400000000002</v>
      </c>
      <c r="S20" s="32">
        <v>-395.036</v>
      </c>
      <c r="T20" s="32">
        <v>-631.06700000000001</v>
      </c>
      <c r="U20" s="32">
        <v>-840.03</v>
      </c>
      <c r="V20" s="168">
        <v>-4.8708305674605969E-2</v>
      </c>
      <c r="W20" s="168">
        <v>-7.7579714327265584E-2</v>
      </c>
      <c r="X20" s="168">
        <v>-0.10372210804202117</v>
      </c>
      <c r="Y20" s="168">
        <v>-4.8705099853513477E-2</v>
      </c>
      <c r="Z20" s="168">
        <v>-7.7576518037817122E-2</v>
      </c>
      <c r="AA20" s="168">
        <v>-0.103718897710655</v>
      </c>
      <c r="AB20" s="32">
        <f t="shared" si="4"/>
        <v>8110.2389932068863</v>
      </c>
      <c r="AC20" s="32">
        <f t="shared" si="5"/>
        <v>8134.4331501496263</v>
      </c>
      <c r="AD20" s="32">
        <f t="shared" si="6"/>
        <v>8098.8519791577655</v>
      </c>
      <c r="AE20" s="32">
        <v>-1303.76</v>
      </c>
      <c r="AF20" s="32">
        <v>-1841.2149999999999</v>
      </c>
      <c r="AG20" s="32">
        <v>-2247.172</v>
      </c>
      <c r="AH20" s="32">
        <v>-1303.7860000000001</v>
      </c>
      <c r="AI20" s="32">
        <v>-1841.241</v>
      </c>
      <c r="AJ20" s="32">
        <v>-2247.1979999999999</v>
      </c>
      <c r="AK20" s="168">
        <v>-0.15621920987685345</v>
      </c>
      <c r="AL20" s="168">
        <v>-0.21474757800113309</v>
      </c>
      <c r="AM20" s="168">
        <v>-0.26242685878124761</v>
      </c>
      <c r="AN20" s="168">
        <v>-0.15621609456442256</v>
      </c>
      <c r="AO20" s="168">
        <v>-0.21474454557048056</v>
      </c>
      <c r="AP20" s="168">
        <v>-0.26242382251158791</v>
      </c>
      <c r="AQ20" s="32">
        <f t="shared" si="7"/>
        <v>8345.8750113762271</v>
      </c>
      <c r="AR20" s="32">
        <f t="shared" si="8"/>
        <v>8573.9779565004192</v>
      </c>
      <c r="AS20" s="32">
        <f t="shared" si="9"/>
        <v>8563.1402610209716</v>
      </c>
      <c r="AT20" s="104">
        <v>0.38200000000000001</v>
      </c>
      <c r="AU20" s="104">
        <v>0.35899999999999999</v>
      </c>
      <c r="AV20" s="142">
        <v>43709</v>
      </c>
      <c r="AW20" s="104">
        <v>0.34599999999999997</v>
      </c>
      <c r="AX20" s="104">
        <v>0.32300000000000001</v>
      </c>
      <c r="AY20" s="32">
        <v>1603.366</v>
      </c>
      <c r="AZ20" s="32">
        <v>2628.8049999999998</v>
      </c>
      <c r="BA20" s="140">
        <f t="shared" si="10"/>
        <v>43709</v>
      </c>
      <c r="BB20" s="32">
        <v>1475.63</v>
      </c>
      <c r="BC20" s="32">
        <v>2314.335</v>
      </c>
      <c r="BD20" s="104">
        <v>0.12</v>
      </c>
      <c r="BE20" s="104">
        <v>0.08</v>
      </c>
    </row>
    <row r="21" spans="1:57" x14ac:dyDescent="0.25">
      <c r="A21" s="31">
        <v>12</v>
      </c>
      <c r="B21" s="31">
        <v>389</v>
      </c>
      <c r="C21" s="70" t="str">
        <f>IF($J$1="ENG","IIB","МІБ")</f>
        <v>IIB</v>
      </c>
      <c r="D21" s="130" t="str">
        <f>IF($J$1="ENG","Private banks","Банки з приватним капіталом")</f>
        <v>Private banks</v>
      </c>
      <c r="E21" s="32">
        <v>281.77300000000002</v>
      </c>
      <c r="F21" s="32">
        <v>398.46</v>
      </c>
      <c r="G21" s="168">
        <v>0.1716</v>
      </c>
      <c r="H21" s="168">
        <v>0.12139999999999999</v>
      </c>
      <c r="I21" s="32">
        <f t="shared" si="1"/>
        <v>2321.0296540362442</v>
      </c>
      <c r="J21" s="92" t="str">
        <f t="shared" si="2"/>
        <v>no</v>
      </c>
      <c r="K21" s="32">
        <v>201.542</v>
      </c>
      <c r="L21" s="32">
        <v>300.935</v>
      </c>
      <c r="M21" s="168">
        <v>0.13514166193932781</v>
      </c>
      <c r="N21" s="168">
        <v>9.0506842468328158E-2</v>
      </c>
      <c r="O21" s="32">
        <f t="shared" si="3"/>
        <v>2226.81506175102</v>
      </c>
      <c r="P21" s="32">
        <v>118.473</v>
      </c>
      <c r="Q21" s="32">
        <v>212.91300000000001</v>
      </c>
      <c r="R21" s="32">
        <v>299.637</v>
      </c>
      <c r="S21" s="32">
        <v>178.14699999999999</v>
      </c>
      <c r="T21" s="32">
        <v>226.03899999999999</v>
      </c>
      <c r="U21" s="32">
        <v>293.815</v>
      </c>
      <c r="V21" s="168">
        <v>8.7026064206387407E-2</v>
      </c>
      <c r="W21" s="168">
        <v>0.11289620074191066</v>
      </c>
      <c r="X21" s="168">
        <v>0.1533761310968243</v>
      </c>
      <c r="Y21" s="168">
        <v>5.7874980596302236E-2</v>
      </c>
      <c r="Z21" s="168">
        <v>0.10634015210812868</v>
      </c>
      <c r="AA21" s="168">
        <v>0.15641531023617891</v>
      </c>
      <c r="AB21" s="32">
        <f t="shared" si="4"/>
        <v>2047.050362338601</v>
      </c>
      <c r="AC21" s="32">
        <f t="shared" si="5"/>
        <v>2002.1882212798232</v>
      </c>
      <c r="AD21" s="32">
        <f t="shared" si="6"/>
        <v>1915.65006998077</v>
      </c>
      <c r="AE21" s="32">
        <v>-195.40199999999999</v>
      </c>
      <c r="AF21" s="32">
        <v>-263.10700000000003</v>
      </c>
      <c r="AG21" s="32">
        <v>-205.023</v>
      </c>
      <c r="AH21" s="32">
        <v>-201.22399999999999</v>
      </c>
      <c r="AI21" s="32">
        <v>-268.92899999999997</v>
      </c>
      <c r="AJ21" s="32">
        <v>-210.845</v>
      </c>
      <c r="AK21" s="168">
        <v>-9.1517353007788793E-2</v>
      </c>
      <c r="AL21" s="168">
        <v>-0.12235547078602546</v>
      </c>
      <c r="AM21" s="168">
        <v>-9.6688409209268189E-2</v>
      </c>
      <c r="AN21" s="168">
        <v>-8.8869484825692319E-2</v>
      </c>
      <c r="AO21" s="168">
        <v>-0.11970662028438266</v>
      </c>
      <c r="AP21" s="168">
        <v>-9.4018577041858384E-2</v>
      </c>
      <c r="AQ21" s="32">
        <f t="shared" si="7"/>
        <v>2198.7524782354644</v>
      </c>
      <c r="AR21" s="32">
        <f t="shared" si="8"/>
        <v>2197.9319053110539</v>
      </c>
      <c r="AS21" s="32">
        <f t="shared" si="9"/>
        <v>2180.6647840322121</v>
      </c>
      <c r="AT21" s="104">
        <v>0.25</v>
      </c>
      <c r="AU21" s="104">
        <v>0.24299999999999999</v>
      </c>
      <c r="AV21" s="142">
        <v>43709</v>
      </c>
      <c r="AW21" s="104">
        <v>0.13700000000000001</v>
      </c>
      <c r="AX21" s="104">
        <v>0.13200000000000001</v>
      </c>
      <c r="AY21" s="32">
        <v>26.558</v>
      </c>
      <c r="AZ21" s="32">
        <v>355.40100000000001</v>
      </c>
      <c r="BA21" s="140">
        <f t="shared" si="10"/>
        <v>43709</v>
      </c>
      <c r="BB21" s="32">
        <v>0</v>
      </c>
      <c r="BC21" s="32">
        <v>102.452</v>
      </c>
      <c r="BD21" s="104">
        <v>0.22700000000000001</v>
      </c>
      <c r="BE21" s="104">
        <v>0.191</v>
      </c>
    </row>
    <row r="22" spans="1:57" x14ac:dyDescent="0.25">
      <c r="A22" s="31">
        <v>13</v>
      </c>
      <c r="B22" s="31">
        <v>105</v>
      </c>
      <c r="C22" s="70" t="str">
        <f>IF($J$1="ENG","MTB","МТБ")</f>
        <v>MTB</v>
      </c>
      <c r="D22" s="130" t="str">
        <f>IF($J$1="ENG","Private banks","Банки з приватним капіталом")</f>
        <v>Private banks</v>
      </c>
      <c r="E22" s="32">
        <v>510.84500000000003</v>
      </c>
      <c r="F22" s="32">
        <v>588.01</v>
      </c>
      <c r="G22" s="168">
        <v>0.1949807236237513</v>
      </c>
      <c r="H22" s="168">
        <v>0.16939326378907529</v>
      </c>
      <c r="I22" s="32">
        <f t="shared" si="1"/>
        <v>3015.7338525343771</v>
      </c>
      <c r="J22" s="92" t="str">
        <f t="shared" si="2"/>
        <v>no</v>
      </c>
      <c r="K22" s="32">
        <v>510.84500000000003</v>
      </c>
      <c r="L22" s="32">
        <v>588.01</v>
      </c>
      <c r="M22" s="168">
        <v>0.1949807236237513</v>
      </c>
      <c r="N22" s="168">
        <v>0.16939326378907529</v>
      </c>
      <c r="O22" s="32">
        <f t="shared" si="3"/>
        <v>3015.7338525343771</v>
      </c>
      <c r="P22" s="32">
        <v>470.44799999999998</v>
      </c>
      <c r="Q22" s="32">
        <v>429.41800000000001</v>
      </c>
      <c r="R22" s="32">
        <v>386.18400000000003</v>
      </c>
      <c r="S22" s="32">
        <v>552.428</v>
      </c>
      <c r="T22" s="32">
        <v>500.279</v>
      </c>
      <c r="U22" s="32">
        <v>444.13400000000001</v>
      </c>
      <c r="V22" s="168">
        <v>0.17972387967941134</v>
      </c>
      <c r="W22" s="168">
        <v>0.16191125078649513</v>
      </c>
      <c r="X22" s="168">
        <v>0.14415405947239748</v>
      </c>
      <c r="Y22" s="168">
        <v>0.1530529951808044</v>
      </c>
      <c r="Z22" s="168">
        <v>0.13897741466327745</v>
      </c>
      <c r="AA22" s="168">
        <v>0.12534531601572058</v>
      </c>
      <c r="AB22" s="32">
        <f t="shared" si="4"/>
        <v>3073.7588600879772</v>
      </c>
      <c r="AC22" s="32">
        <f t="shared" si="5"/>
        <v>3089.8401804380869</v>
      </c>
      <c r="AD22" s="32">
        <f t="shared" si="6"/>
        <v>3080.9607592481998</v>
      </c>
      <c r="AE22" s="32">
        <v>133.06800000000001</v>
      </c>
      <c r="AF22" s="32">
        <v>-61.243000000000002</v>
      </c>
      <c r="AG22" s="32">
        <v>-192.947</v>
      </c>
      <c r="AH22" s="32">
        <v>228.18</v>
      </c>
      <c r="AI22" s="32">
        <v>-61.243000000000002</v>
      </c>
      <c r="AJ22" s="32">
        <v>-192.947</v>
      </c>
      <c r="AK22" s="168">
        <v>7.3286417793190242E-2</v>
      </c>
      <c r="AL22" s="168">
        <v>-1.9229790926243863E-2</v>
      </c>
      <c r="AM22" s="168">
        <v>-6.0294372671298821E-2</v>
      </c>
      <c r="AN22" s="168">
        <v>4.2738650974133811E-2</v>
      </c>
      <c r="AO22" s="168">
        <v>-1.9229790926243863E-2</v>
      </c>
      <c r="AP22" s="168">
        <v>-6.0294372671298821E-2</v>
      </c>
      <c r="AQ22" s="32">
        <f t="shared" si="7"/>
        <v>3113.5283161027969</v>
      </c>
      <c r="AR22" s="32">
        <f t="shared" si="8"/>
        <v>3184.7980165202212</v>
      </c>
      <c r="AS22" s="32">
        <f t="shared" si="9"/>
        <v>3200.0830500695492</v>
      </c>
      <c r="AT22" s="104">
        <v>0.27100000000000002</v>
      </c>
      <c r="AU22" s="104">
        <v>0.27100000000000002</v>
      </c>
      <c r="AV22" s="142">
        <v>43709</v>
      </c>
      <c r="AW22" s="104">
        <v>0.22900000000000001</v>
      </c>
      <c r="AX22" s="104">
        <v>0.22900000000000001</v>
      </c>
      <c r="AY22" s="32">
        <v>0</v>
      </c>
      <c r="AZ22" s="32">
        <v>304.95100000000002</v>
      </c>
      <c r="BA22" s="140">
        <f t="shared" si="10"/>
        <v>43709</v>
      </c>
      <c r="BB22" s="32">
        <v>0</v>
      </c>
      <c r="BC22" s="32">
        <v>180</v>
      </c>
      <c r="BD22" s="104">
        <v>0.18099999999999999</v>
      </c>
      <c r="BE22" s="104">
        <v>0.161</v>
      </c>
    </row>
    <row r="23" spans="1:57" x14ac:dyDescent="0.25">
      <c r="A23" s="31">
        <v>14</v>
      </c>
      <c r="B23" s="31">
        <v>296</v>
      </c>
      <c r="C23" s="70" t="str">
        <f>IF($J$1="ENG","OTP Bank","ОТП Банк")</f>
        <v>OTP Bank</v>
      </c>
      <c r="D23" s="130" t="str">
        <f>IF($J$1="ENG","Foreign banks","Банки іноземних банківських груп")</f>
        <v>Foreign banks</v>
      </c>
      <c r="E23" s="32">
        <v>3022.518</v>
      </c>
      <c r="F23" s="32">
        <v>4858.8530000000001</v>
      </c>
      <c r="G23" s="168">
        <v>0.19222704267393542</v>
      </c>
      <c r="H23" s="168">
        <v>0.11957752071351134</v>
      </c>
      <c r="I23" s="32">
        <f t="shared" si="1"/>
        <v>25276.640475273533</v>
      </c>
      <c r="J23" s="92" t="str">
        <f t="shared" si="2"/>
        <v>no</v>
      </c>
      <c r="K23" s="32">
        <v>3022.518</v>
      </c>
      <c r="L23" s="32">
        <v>4858.8530000000001</v>
      </c>
      <c r="M23" s="168">
        <v>0.19222704267393542</v>
      </c>
      <c r="N23" s="168">
        <v>0.11957752071351134</v>
      </c>
      <c r="O23" s="32">
        <f t="shared" si="3"/>
        <v>25276.640475273533</v>
      </c>
      <c r="P23" s="32">
        <v>7079.5659999999998</v>
      </c>
      <c r="Q23" s="32">
        <v>9319.3649999999998</v>
      </c>
      <c r="R23" s="32">
        <v>11469.982</v>
      </c>
      <c r="S23" s="32">
        <v>7079.5659999999998</v>
      </c>
      <c r="T23" s="32">
        <v>9319.3649999999998</v>
      </c>
      <c r="U23" s="32">
        <v>11469.982</v>
      </c>
      <c r="V23" s="168">
        <v>0.27289609453408675</v>
      </c>
      <c r="W23" s="168">
        <v>0.3559130008949819</v>
      </c>
      <c r="X23" s="168">
        <v>0.44126354330638301</v>
      </c>
      <c r="Y23" s="168">
        <v>0.27289609546846622</v>
      </c>
      <c r="Z23" s="168">
        <v>0.35591300182072427</v>
      </c>
      <c r="AA23" s="168">
        <v>0.441263544238924</v>
      </c>
      <c r="AB23" s="32">
        <f t="shared" si="4"/>
        <v>25942.349918370524</v>
      </c>
      <c r="AC23" s="32">
        <f t="shared" si="5"/>
        <v>26184.390433407727</v>
      </c>
      <c r="AD23" s="32">
        <f t="shared" si="6"/>
        <v>25993.49560993765</v>
      </c>
      <c r="AE23" s="32">
        <v>5342.4110000000001</v>
      </c>
      <c r="AF23" s="32">
        <v>6566.2460000000001</v>
      </c>
      <c r="AG23" s="32">
        <v>8394.393</v>
      </c>
      <c r="AH23" s="32">
        <v>5342.4110000000001</v>
      </c>
      <c r="AI23" s="32">
        <v>6566.2460000000001</v>
      </c>
      <c r="AJ23" s="32">
        <v>8394.3919999999998</v>
      </c>
      <c r="AK23" s="168">
        <v>0.19873067676594408</v>
      </c>
      <c r="AL23" s="168">
        <v>0.23940612185625759</v>
      </c>
      <c r="AM23" s="168">
        <v>0.30494686422544059</v>
      </c>
      <c r="AN23" s="168">
        <v>0.19873067766764022</v>
      </c>
      <c r="AO23" s="168">
        <v>0.23940612274005091</v>
      </c>
      <c r="AP23" s="168">
        <v>0.30494686510601793</v>
      </c>
      <c r="AQ23" s="32">
        <f t="shared" si="7"/>
        <v>26882.668859685156</v>
      </c>
      <c r="AR23" s="32">
        <f t="shared" si="8"/>
        <v>27427.226692650976</v>
      </c>
      <c r="AS23" s="32">
        <f t="shared" si="9"/>
        <v>27527.395623764169</v>
      </c>
      <c r="AT23" s="104">
        <v>0.1</v>
      </c>
      <c r="AU23" s="104">
        <v>7.0000000000000007E-2</v>
      </c>
      <c r="AV23" s="142">
        <v>43709</v>
      </c>
      <c r="AW23" s="104">
        <v>0.1</v>
      </c>
      <c r="AX23" s="104">
        <v>7.0000000000000007E-2</v>
      </c>
      <c r="AY23" s="32">
        <v>0</v>
      </c>
      <c r="AZ23" s="32">
        <v>0</v>
      </c>
      <c r="BA23" s="140">
        <f t="shared" si="10"/>
        <v>43709</v>
      </c>
      <c r="BB23" s="32">
        <v>0</v>
      </c>
      <c r="BC23" s="32">
        <v>0</v>
      </c>
      <c r="BD23" s="104">
        <v>0.20899999999999999</v>
      </c>
      <c r="BE23" s="104">
        <v>0.153</v>
      </c>
    </row>
    <row r="24" spans="1:57" x14ac:dyDescent="0.25">
      <c r="A24" s="31">
        <v>15</v>
      </c>
      <c r="B24" s="31">
        <v>6</v>
      </c>
      <c r="C24" s="70" t="str">
        <f>IF($J$1="ENG","Oschadbank","Ощадбанк")</f>
        <v>Oschadbank</v>
      </c>
      <c r="D24" s="130" t="str">
        <f>IF($J$1="ENG","State-owned banks","Банки з державною часткою")</f>
        <v>State-owned banks</v>
      </c>
      <c r="E24" s="32">
        <v>7926.9809999999998</v>
      </c>
      <c r="F24" s="32">
        <v>11599.89</v>
      </c>
      <c r="G24" s="168">
        <v>0.12696739194005918</v>
      </c>
      <c r="H24" s="168">
        <v>8.6765316778661838E-2</v>
      </c>
      <c r="I24" s="32">
        <f t="shared" si="1"/>
        <v>91361.171655970713</v>
      </c>
      <c r="J24" s="92" t="str">
        <f t="shared" si="2"/>
        <v>no</v>
      </c>
      <c r="K24" s="32">
        <v>7864.9449999999997</v>
      </c>
      <c r="L24" s="32">
        <v>11537.853999999999</v>
      </c>
      <c r="M24" s="168">
        <v>0.12637418414361917</v>
      </c>
      <c r="N24" s="168">
        <v>8.6144792494614569E-2</v>
      </c>
      <c r="O24" s="32">
        <f t="shared" si="3"/>
        <v>91299.134541321051</v>
      </c>
      <c r="P24" s="32">
        <v>1084.5070000000001</v>
      </c>
      <c r="Q24" s="32">
        <v>-2013.7190000000001</v>
      </c>
      <c r="R24" s="32">
        <v>-7413.68</v>
      </c>
      <c r="S24" s="32">
        <v>2111.7939999999999</v>
      </c>
      <c r="T24" s="32">
        <v>-2070.9389999999999</v>
      </c>
      <c r="U24" s="32">
        <v>-7470.9</v>
      </c>
      <c r="V24" s="168">
        <v>2.3925380141358688E-2</v>
      </c>
      <c r="W24" s="168">
        <v>-2.4102626817781407E-2</v>
      </c>
      <c r="X24" s="168">
        <v>-9.3853561760869786E-2</v>
      </c>
      <c r="Y24" s="168">
        <v>1.228682456542427E-2</v>
      </c>
      <c r="Z24" s="168">
        <v>-2.3436671446769145E-2</v>
      </c>
      <c r="AA24" s="168">
        <v>-9.3134732312153592E-2</v>
      </c>
      <c r="AB24" s="32">
        <f t="shared" si="4"/>
        <v>88265.848855029326</v>
      </c>
      <c r="AC24" s="32">
        <f t="shared" si="5"/>
        <v>85921.714803814451</v>
      </c>
      <c r="AD24" s="32">
        <f t="shared" si="6"/>
        <v>79601.66756212982</v>
      </c>
      <c r="AE24" s="32">
        <v>-10094.178</v>
      </c>
      <c r="AF24" s="32">
        <v>-17117.973999999998</v>
      </c>
      <c r="AG24" s="32">
        <v>-25062.575000000001</v>
      </c>
      <c r="AH24" s="32">
        <v>-10151.397999999999</v>
      </c>
      <c r="AI24" s="32">
        <v>-17175.194</v>
      </c>
      <c r="AJ24" s="32">
        <v>-25119.794999999998</v>
      </c>
      <c r="AK24" s="168">
        <v>-0.10827779200643463</v>
      </c>
      <c r="AL24" s="168">
        <v>-0.17952243780214577</v>
      </c>
      <c r="AM24" s="168">
        <v>-0.27623619616031109</v>
      </c>
      <c r="AN24" s="168">
        <v>-0.10766746645710383</v>
      </c>
      <c r="AO24" s="168">
        <v>-0.17892434977712371</v>
      </c>
      <c r="AP24" s="168">
        <v>-0.2756069616655476</v>
      </c>
      <c r="AQ24" s="32">
        <f t="shared" si="7"/>
        <v>93753.278795890088</v>
      </c>
      <c r="AR24" s="32">
        <f t="shared" si="8"/>
        <v>95671.573049296669</v>
      </c>
      <c r="AS24" s="32">
        <f t="shared" si="9"/>
        <v>90935.92864469708</v>
      </c>
      <c r="AT24" s="104">
        <v>0.40100000000000002</v>
      </c>
      <c r="AU24" s="104">
        <v>0.39500000000000002</v>
      </c>
      <c r="AV24" s="142">
        <v>43709</v>
      </c>
      <c r="AW24" s="104">
        <v>0.32200000000000001</v>
      </c>
      <c r="AX24" s="104">
        <v>0.317</v>
      </c>
      <c r="AY24" s="32">
        <v>13493.168</v>
      </c>
      <c r="AZ24" s="32">
        <v>28245.332999999999</v>
      </c>
      <c r="BA24" s="140">
        <f t="shared" si="10"/>
        <v>43709</v>
      </c>
      <c r="BB24" s="32">
        <v>6190</v>
      </c>
      <c r="BC24" s="32">
        <v>21139</v>
      </c>
      <c r="BD24" s="104">
        <v>0.13600000000000001</v>
      </c>
      <c r="BE24" s="104">
        <v>0.10100000000000001</v>
      </c>
    </row>
    <row r="25" spans="1:57" x14ac:dyDescent="0.25">
      <c r="A25" s="31">
        <v>16</v>
      </c>
      <c r="B25" s="31">
        <v>106</v>
      </c>
      <c r="C25" s="70" t="str">
        <f>IF($J$1="ENG","Pivdennyi","Південний")</f>
        <v>Pivdennyi</v>
      </c>
      <c r="D25" s="130" t="str">
        <f>IF($J$1="ENG","Private banks","Банки з приватним капіталом")</f>
        <v>Private banks</v>
      </c>
      <c r="E25" s="32">
        <v>1769.674</v>
      </c>
      <c r="F25" s="32">
        <v>2348.2730000000001</v>
      </c>
      <c r="G25" s="168">
        <v>0.12111873580888907</v>
      </c>
      <c r="H25" s="168">
        <v>9.1275901820012106E-2</v>
      </c>
      <c r="I25" s="32">
        <f t="shared" si="1"/>
        <v>19388.184227307207</v>
      </c>
      <c r="J25" s="92" t="str">
        <f t="shared" si="2"/>
        <v>no</v>
      </c>
      <c r="K25" s="32">
        <v>1769.674</v>
      </c>
      <c r="L25" s="32">
        <v>2348.2730000000001</v>
      </c>
      <c r="M25" s="168">
        <v>0.12111873580888907</v>
      </c>
      <c r="N25" s="168">
        <v>9.1275901820012106E-2</v>
      </c>
      <c r="O25" s="32">
        <f t="shared" si="3"/>
        <v>19388.184227307207</v>
      </c>
      <c r="P25" s="32">
        <v>2307.2370000000001</v>
      </c>
      <c r="Q25" s="32">
        <v>2410.9160000000002</v>
      </c>
      <c r="R25" s="32">
        <v>2378.0859999999998</v>
      </c>
      <c r="S25" s="32">
        <v>2491.8510000000001</v>
      </c>
      <c r="T25" s="32">
        <v>2599.8040000000001</v>
      </c>
      <c r="U25" s="32">
        <v>2454.5039999999999</v>
      </c>
      <c r="V25" s="168">
        <v>0.12611447823373342</v>
      </c>
      <c r="W25" s="168">
        <v>0.13141838492322444</v>
      </c>
      <c r="X25" s="168">
        <v>0.12657650102965828</v>
      </c>
      <c r="Y25" s="168">
        <v>0.11677106068939463</v>
      </c>
      <c r="Z25" s="168">
        <v>0.12187018962237606</v>
      </c>
      <c r="AA25" s="168">
        <v>0.12263569789554042</v>
      </c>
      <c r="AB25" s="32">
        <f t="shared" si="4"/>
        <v>19758.636997715887</v>
      </c>
      <c r="AC25" s="32">
        <f t="shared" si="5"/>
        <v>19782.655688568342</v>
      </c>
      <c r="AD25" s="32">
        <f t="shared" si="6"/>
        <v>19391.466276203068</v>
      </c>
      <c r="AE25" s="32">
        <v>705.72799999999995</v>
      </c>
      <c r="AF25" s="32">
        <v>-174.904</v>
      </c>
      <c r="AG25" s="32">
        <v>-758.01400000000001</v>
      </c>
      <c r="AH25" s="32">
        <v>915.99400000000003</v>
      </c>
      <c r="AI25" s="32">
        <v>-217.327</v>
      </c>
      <c r="AJ25" s="32">
        <v>-800.43700000000001</v>
      </c>
      <c r="AK25" s="168">
        <v>4.3536733254855964E-2</v>
      </c>
      <c r="AL25" s="168">
        <v>-1.008080752567362E-2</v>
      </c>
      <c r="AM25" s="168">
        <v>-3.7484011327097257E-2</v>
      </c>
      <c r="AN25" s="168">
        <v>3.3542913401118153E-2</v>
      </c>
      <c r="AO25" s="168">
        <v>-8.1130115340819018E-3</v>
      </c>
      <c r="AP25" s="168">
        <v>-3.5497380792131786E-2</v>
      </c>
      <c r="AQ25" s="32">
        <f t="shared" si="7"/>
        <v>21039.555853740316</v>
      </c>
      <c r="AR25" s="32">
        <f t="shared" si="8"/>
        <v>21558.455730679885</v>
      </c>
      <c r="AS25" s="32">
        <f t="shared" si="9"/>
        <v>21354.082557212743</v>
      </c>
      <c r="AT25" s="104">
        <v>0.20399999999999999</v>
      </c>
      <c r="AU25" s="104">
        <v>0.192</v>
      </c>
      <c r="AV25" s="142">
        <v>43709</v>
      </c>
      <c r="AW25" s="104">
        <v>0.161</v>
      </c>
      <c r="AX25" s="104">
        <v>0.14899999999999999</v>
      </c>
      <c r="AY25" s="32">
        <v>0</v>
      </c>
      <c r="AZ25" s="32">
        <v>1736.1079999999999</v>
      </c>
      <c r="BA25" s="140">
        <f t="shared" si="10"/>
        <v>43709</v>
      </c>
      <c r="BB25" s="32">
        <v>0</v>
      </c>
      <c r="BC25" s="32">
        <v>907.798</v>
      </c>
      <c r="BD25" s="104">
        <v>0.123</v>
      </c>
      <c r="BE25" s="104">
        <v>0.105</v>
      </c>
    </row>
    <row r="26" spans="1:57" x14ac:dyDescent="0.25">
      <c r="A26" s="31">
        <v>17</v>
      </c>
      <c r="B26" s="31">
        <v>46</v>
      </c>
      <c r="C26" s="70" t="str">
        <f>IF($J$1="ENG","Privatbank","Приватбанк")</f>
        <v>Privatbank</v>
      </c>
      <c r="D26" s="130" t="str">
        <f>IF($J$1="ENG","State-owned banks","Банки з державною часткою")</f>
        <v>State-owned banks</v>
      </c>
      <c r="E26" s="32">
        <v>8655.2289999999994</v>
      </c>
      <c r="F26" s="32">
        <v>17163.357</v>
      </c>
      <c r="G26" s="168">
        <v>0.15420654846070725</v>
      </c>
      <c r="H26" s="168">
        <v>7.7764094932839756E-2</v>
      </c>
      <c r="I26" s="32">
        <f t="shared" si="1"/>
        <v>111301.09605821309</v>
      </c>
      <c r="J26" s="92" t="str">
        <f t="shared" si="2"/>
        <v>no</v>
      </c>
      <c r="K26" s="32">
        <v>8655.2289999999994</v>
      </c>
      <c r="L26" s="32">
        <v>17163.357</v>
      </c>
      <c r="M26" s="168">
        <v>0.15420654846070725</v>
      </c>
      <c r="N26" s="168">
        <v>7.7764094932839756E-2</v>
      </c>
      <c r="O26" s="32">
        <f t="shared" si="3"/>
        <v>111301.09605821309</v>
      </c>
      <c r="P26" s="32">
        <v>24778.657999999999</v>
      </c>
      <c r="Q26" s="32">
        <v>41266.267999999996</v>
      </c>
      <c r="R26" s="32">
        <v>58451.07</v>
      </c>
      <c r="S26" s="32">
        <v>35939.665000000001</v>
      </c>
      <c r="T26" s="32">
        <v>52427.275000000001</v>
      </c>
      <c r="U26" s="32">
        <v>69612.077000000005</v>
      </c>
      <c r="V26" s="168">
        <v>0.31566065391765763</v>
      </c>
      <c r="W26" s="168">
        <v>0.45645990118952096</v>
      </c>
      <c r="X26" s="168">
        <v>0.61201310407540876</v>
      </c>
      <c r="Y26" s="168">
        <v>0.2176327274105867</v>
      </c>
      <c r="Z26" s="168">
        <v>0.35928620281566115</v>
      </c>
      <c r="AA26" s="168">
        <v>0.51388813926671983</v>
      </c>
      <c r="AB26" s="32">
        <f t="shared" si="4"/>
        <v>113855.38514734732</v>
      </c>
      <c r="AC26" s="32">
        <f t="shared" si="5"/>
        <v>114856.25575544983</v>
      </c>
      <c r="AD26" s="32">
        <f t="shared" si="6"/>
        <v>113742.78862206341</v>
      </c>
      <c r="AE26" s="32">
        <v>11046.495999999999</v>
      </c>
      <c r="AF26" s="32">
        <v>19672.339</v>
      </c>
      <c r="AG26" s="32">
        <v>33487.93</v>
      </c>
      <c r="AH26" s="32">
        <v>21945.892</v>
      </c>
      <c r="AI26" s="32">
        <v>30833.346000000001</v>
      </c>
      <c r="AJ26" s="32">
        <v>44648.936999999998</v>
      </c>
      <c r="AK26" s="168">
        <v>0.18639442676912168</v>
      </c>
      <c r="AL26" s="168">
        <v>0.25456956385381607</v>
      </c>
      <c r="AM26" s="168">
        <v>0.36518019775108995</v>
      </c>
      <c r="AN26" s="168">
        <v>9.3821900780877682E-2</v>
      </c>
      <c r="AO26" s="168">
        <v>0.16242086433264827</v>
      </c>
      <c r="AP26" s="168">
        <v>0.27389518434010379</v>
      </c>
      <c r="AQ26" s="32">
        <f t="shared" si="7"/>
        <v>117738.99172858628</v>
      </c>
      <c r="AR26" s="32">
        <f t="shared" si="8"/>
        <v>121119.53153820064</v>
      </c>
      <c r="AS26" s="32">
        <f t="shared" si="9"/>
        <v>122265.49393587382</v>
      </c>
      <c r="AT26" s="104">
        <v>0.1</v>
      </c>
      <c r="AU26" s="104">
        <v>7.0000000000000007E-2</v>
      </c>
      <c r="AV26" s="142">
        <v>43709</v>
      </c>
      <c r="AW26" s="104">
        <v>0.1</v>
      </c>
      <c r="AX26" s="104">
        <v>7.0000000000000007E-2</v>
      </c>
      <c r="AY26" s="32">
        <v>0</v>
      </c>
      <c r="AZ26" s="32">
        <v>0</v>
      </c>
      <c r="BA26" s="140">
        <f t="shared" si="10"/>
        <v>43709</v>
      </c>
      <c r="BB26" s="32">
        <v>0</v>
      </c>
      <c r="BC26" s="32">
        <v>0</v>
      </c>
      <c r="BD26" s="104">
        <v>0.14199999999999999</v>
      </c>
      <c r="BE26" s="104">
        <v>7.0999999999999994E-2</v>
      </c>
    </row>
    <row r="27" spans="1:57" x14ac:dyDescent="0.25">
      <c r="A27" s="31">
        <v>18</v>
      </c>
      <c r="B27" s="31">
        <v>298</v>
      </c>
      <c r="C27" s="70" t="str">
        <f>IF($J$1="ENG","Procredit","Прокредит")</f>
        <v>Procredit</v>
      </c>
      <c r="D27" s="130" t="str">
        <f>IF($J$1="ENG","Foreign banks","Банки іноземних банківських груп")</f>
        <v>Foreign banks</v>
      </c>
      <c r="E27" s="32">
        <v>2314.9409999999998</v>
      </c>
      <c r="F27" s="32">
        <v>3171.6</v>
      </c>
      <c r="G27" s="168">
        <v>0.18152742973256</v>
      </c>
      <c r="H27" s="168">
        <v>0.13250767149701825</v>
      </c>
      <c r="I27" s="32">
        <f t="shared" si="1"/>
        <v>17470.241336571155</v>
      </c>
      <c r="J27" s="92" t="str">
        <f t="shared" si="2"/>
        <v>no</v>
      </c>
      <c r="K27" s="32">
        <v>2314.9409999999998</v>
      </c>
      <c r="L27" s="32">
        <v>3166.087</v>
      </c>
      <c r="M27" s="168">
        <v>0.18122742973255962</v>
      </c>
      <c r="N27" s="168">
        <v>0.13250767149701825</v>
      </c>
      <c r="O27" s="32">
        <f t="shared" si="3"/>
        <v>17470.241336571155</v>
      </c>
      <c r="P27" s="32">
        <v>3418.8989999999999</v>
      </c>
      <c r="Q27" s="32">
        <v>4088.7629999999999</v>
      </c>
      <c r="R27" s="32">
        <v>4720.62</v>
      </c>
      <c r="S27" s="32">
        <v>3761.692</v>
      </c>
      <c r="T27" s="32">
        <v>4443.2160000000003</v>
      </c>
      <c r="U27" s="32">
        <v>5078.57</v>
      </c>
      <c r="V27" s="168">
        <v>0.21256895523001371</v>
      </c>
      <c r="W27" s="168">
        <v>0.24939422582792692</v>
      </c>
      <c r="X27" s="168">
        <v>0.2864865535368657</v>
      </c>
      <c r="Y27" s="168">
        <v>0.19319813706897218</v>
      </c>
      <c r="Z27" s="168">
        <v>0.22949910403493998</v>
      </c>
      <c r="AA27" s="168">
        <v>0.26629428148509232</v>
      </c>
      <c r="AB27" s="32">
        <f t="shared" si="4"/>
        <v>17696.335233188325</v>
      </c>
      <c r="AC27" s="32">
        <f t="shared" si="5"/>
        <v>17816.030337867935</v>
      </c>
      <c r="AD27" s="32">
        <f t="shared" si="6"/>
        <v>17727.079881977374</v>
      </c>
      <c r="AE27" s="32">
        <v>2671.2629999999999</v>
      </c>
      <c r="AF27" s="32">
        <v>2918.0039999999999</v>
      </c>
      <c r="AG27" s="32">
        <v>3320.3330000000001</v>
      </c>
      <c r="AH27" s="32">
        <v>3084.0140000000001</v>
      </c>
      <c r="AI27" s="32">
        <v>3382.056</v>
      </c>
      <c r="AJ27" s="32">
        <v>3804.2069999999999</v>
      </c>
      <c r="AK27" s="168">
        <v>0.16625169035430937</v>
      </c>
      <c r="AL27" s="168">
        <v>0.17836034396480549</v>
      </c>
      <c r="AM27" s="168">
        <v>0.20105724823904192</v>
      </c>
      <c r="AN27" s="168">
        <v>0.14400133016476005</v>
      </c>
      <c r="AO27" s="168">
        <v>0.15388749262194029</v>
      </c>
      <c r="AP27" s="168">
        <v>0.17548389492560126</v>
      </c>
      <c r="AQ27" s="32">
        <f t="shared" si="7"/>
        <v>18550.266146456128</v>
      </c>
      <c r="AR27" s="32">
        <f t="shared" si="8"/>
        <v>18961.930890437874</v>
      </c>
      <c r="AS27" s="32">
        <f t="shared" si="9"/>
        <v>18921.012674169899</v>
      </c>
      <c r="AT27" s="104">
        <v>0.1</v>
      </c>
      <c r="AU27" s="104">
        <v>7.0000000000000007E-2</v>
      </c>
      <c r="AV27" s="142">
        <v>43709</v>
      </c>
      <c r="AW27" s="104">
        <v>0.1</v>
      </c>
      <c r="AX27" s="104">
        <v>7.0000000000000007E-2</v>
      </c>
      <c r="AY27" s="32">
        <v>0</v>
      </c>
      <c r="AZ27" s="32">
        <v>0</v>
      </c>
      <c r="BA27" s="140">
        <f t="shared" si="10"/>
        <v>43709</v>
      </c>
      <c r="BB27" s="32">
        <v>0</v>
      </c>
      <c r="BC27" s="32">
        <v>0</v>
      </c>
      <c r="BD27" s="104">
        <v>0.214</v>
      </c>
      <c r="BE27" s="104">
        <v>0.16800000000000001</v>
      </c>
    </row>
    <row r="28" spans="1:57" x14ac:dyDescent="0.25">
      <c r="A28" s="31">
        <v>19</v>
      </c>
      <c r="B28" s="31">
        <v>3</v>
      </c>
      <c r="C28" s="70" t="str">
        <f>IF($J$1="ENG","Prominvestbank","Промінвестбанк")</f>
        <v>Prominvestbank</v>
      </c>
      <c r="D28" s="130" t="str">
        <f>IF($J$1="ENG","Banks owned by Russia","Банки з державним російським капіталом")</f>
        <v>Banks owned by Russia</v>
      </c>
      <c r="E28" s="32">
        <v>1267.604</v>
      </c>
      <c r="F28" s="32">
        <v>2029.008</v>
      </c>
      <c r="G28" s="168">
        <v>0.12757528034044124</v>
      </c>
      <c r="H28" s="168">
        <v>7.970145639988814E-2</v>
      </c>
      <c r="I28" s="32">
        <f t="shared" si="1"/>
        <v>15904.40196776353</v>
      </c>
      <c r="J28" s="92" t="str">
        <f t="shared" si="2"/>
        <v>no</v>
      </c>
      <c r="K28" s="32">
        <v>1267.604</v>
      </c>
      <c r="L28" s="32">
        <v>2029.008</v>
      </c>
      <c r="M28" s="168">
        <v>0.12757528034044124</v>
      </c>
      <c r="N28" s="168">
        <v>7.970145639988814E-2</v>
      </c>
      <c r="O28" s="32">
        <f t="shared" si="3"/>
        <v>15904.40196776353</v>
      </c>
      <c r="P28" s="32">
        <v>-855.43299999999999</v>
      </c>
      <c r="Q28" s="32">
        <v>-2209.7939999999999</v>
      </c>
      <c r="R28" s="32">
        <v>-3581.4050000000002</v>
      </c>
      <c r="S28" s="32">
        <v>-856.61500000000001</v>
      </c>
      <c r="T28" s="32">
        <v>-2210.9769999999999</v>
      </c>
      <c r="U28" s="32">
        <v>-3582.5880000000002</v>
      </c>
      <c r="V28" s="168">
        <v>-5.3971801672013354E-2</v>
      </c>
      <c r="W28" s="168">
        <v>-0.14193657397820869</v>
      </c>
      <c r="X28" s="168">
        <v>-0.24511527490498727</v>
      </c>
      <c r="Y28" s="168">
        <v>-5.3897309806932137E-2</v>
      </c>
      <c r="Z28" s="168">
        <v>-0.14186067466780714</v>
      </c>
      <c r="AA28" s="168">
        <v>-0.24503438371359637</v>
      </c>
      <c r="AB28" s="32">
        <f t="shared" si="4"/>
        <v>15871.534276279895</v>
      </c>
      <c r="AC28" s="32">
        <f t="shared" si="5"/>
        <v>15577.213383304705</v>
      </c>
      <c r="AD28" s="32">
        <f t="shared" si="6"/>
        <v>14615.928367775745</v>
      </c>
      <c r="AE28" s="32">
        <v>-3155.9490000000001</v>
      </c>
      <c r="AF28" s="32">
        <v>-4334.2129999999997</v>
      </c>
      <c r="AG28" s="32">
        <v>-5677.2139999999999</v>
      </c>
      <c r="AH28" s="32">
        <v>-3157.1309999999999</v>
      </c>
      <c r="AI28" s="32">
        <v>-4335.3950000000004</v>
      </c>
      <c r="AJ28" s="32">
        <v>-5678.3959999999997</v>
      </c>
      <c r="AK28" s="168">
        <v>-0.17452564805913839</v>
      </c>
      <c r="AL28" s="168">
        <v>-0.22986494036888977</v>
      </c>
      <c r="AM28" s="168">
        <v>-0.30907518770011472</v>
      </c>
      <c r="AN28" s="168">
        <v>-0.17446029073126496</v>
      </c>
      <c r="AO28" s="168">
        <v>-0.22980225420036202</v>
      </c>
      <c r="AP28" s="168">
        <v>-0.30901083509635302</v>
      </c>
      <c r="AQ28" s="32">
        <f t="shared" si="7"/>
        <v>18089.784138107159</v>
      </c>
      <c r="AR28" s="32">
        <f t="shared" si="8"/>
        <v>18860.620036481661</v>
      </c>
      <c r="AS28" s="32">
        <f t="shared" si="9"/>
        <v>18372.216618973187</v>
      </c>
      <c r="AT28" s="104">
        <v>0.47699999999999998</v>
      </c>
      <c r="AU28" s="104">
        <v>0.47699999999999998</v>
      </c>
      <c r="AV28" s="142">
        <v>43709</v>
      </c>
      <c r="AW28" s="104">
        <v>0.251</v>
      </c>
      <c r="AX28" s="104">
        <v>0.251</v>
      </c>
      <c r="AY28" s="32">
        <v>4604.5209999999997</v>
      </c>
      <c r="AZ28" s="32">
        <v>6320.2420000000002</v>
      </c>
      <c r="BA28" s="140">
        <f t="shared" si="10"/>
        <v>43709</v>
      </c>
      <c r="BB28" s="32">
        <v>2725</v>
      </c>
      <c r="BC28" s="32">
        <v>3961</v>
      </c>
      <c r="BD28" s="104">
        <v>0.33100000000000002</v>
      </c>
      <c r="BE28" s="104">
        <v>0.219</v>
      </c>
    </row>
    <row r="29" spans="1:57" x14ac:dyDescent="0.25">
      <c r="A29" s="31">
        <v>20</v>
      </c>
      <c r="B29" s="31">
        <v>115</v>
      </c>
      <c r="C29" s="70" t="str">
        <f>IF($J$1="ENG","FUIB","ПУМБ")</f>
        <v>FUIB</v>
      </c>
      <c r="D29" s="130" t="str">
        <f>IF($J$1="ENG","Private banks","Банки з приватним капіталом")</f>
        <v>Private banks</v>
      </c>
      <c r="E29" s="32">
        <v>3538.7460000000001</v>
      </c>
      <c r="F29" s="32">
        <v>5304.6289999999999</v>
      </c>
      <c r="G29" s="168">
        <v>0.16108227635859537</v>
      </c>
      <c r="H29" s="168">
        <v>0.10745883738125075</v>
      </c>
      <c r="I29" s="32">
        <f t="shared" si="1"/>
        <v>32931.177055684719</v>
      </c>
      <c r="J29" s="92" t="str">
        <f t="shared" si="2"/>
        <v>no</v>
      </c>
      <c r="K29" s="32">
        <v>3538.7460000000001</v>
      </c>
      <c r="L29" s="32">
        <v>5298.84</v>
      </c>
      <c r="M29" s="168">
        <v>0.16093478276360001</v>
      </c>
      <c r="N29" s="168">
        <v>0.107477730163931</v>
      </c>
      <c r="O29" s="32">
        <f t="shared" si="3"/>
        <v>32925.388306977715</v>
      </c>
      <c r="P29" s="32">
        <v>5377.2179999999998</v>
      </c>
      <c r="Q29" s="32">
        <v>6951.2370000000001</v>
      </c>
      <c r="R29" s="32">
        <v>8419.9539999999997</v>
      </c>
      <c r="S29" s="32">
        <v>5703.6279999999997</v>
      </c>
      <c r="T29" s="32">
        <v>7277.6480000000001</v>
      </c>
      <c r="U29" s="32">
        <v>8746.3649999999998</v>
      </c>
      <c r="V29" s="168">
        <v>0.17857983963938373</v>
      </c>
      <c r="W29" s="168">
        <v>0.22963192138131636</v>
      </c>
      <c r="X29" s="168">
        <v>0.28055567512095192</v>
      </c>
      <c r="Y29" s="168">
        <v>0.16835997132781516</v>
      </c>
      <c r="Z29" s="168">
        <v>0.21933267804892925</v>
      </c>
      <c r="AA29" s="168">
        <v>0.27008546140255951</v>
      </c>
      <c r="AB29" s="32">
        <f t="shared" si="4"/>
        <v>31938.815132784574</v>
      </c>
      <c r="AC29" s="32">
        <f t="shared" si="5"/>
        <v>31692.664594417169</v>
      </c>
      <c r="AD29" s="32">
        <f t="shared" si="6"/>
        <v>31175.147141482554</v>
      </c>
      <c r="AE29" s="32">
        <v>1444.107</v>
      </c>
      <c r="AF29" s="32">
        <v>1297.011</v>
      </c>
      <c r="AG29" s="32">
        <v>1985.1079999999999</v>
      </c>
      <c r="AH29" s="32">
        <v>1770.518</v>
      </c>
      <c r="AI29" s="32">
        <v>1623.421</v>
      </c>
      <c r="AJ29" s="32">
        <v>2311.5189999999998</v>
      </c>
      <c r="AK29" s="168">
        <v>5.486443623047816E-2</v>
      </c>
      <c r="AL29" s="168">
        <v>5.0269688889598256E-2</v>
      </c>
      <c r="AM29" s="168">
        <v>7.1936384941029677E-2</v>
      </c>
      <c r="AN29" s="168">
        <v>4.4749695242165086E-2</v>
      </c>
      <c r="AO29" s="168">
        <v>4.0162298799228786E-2</v>
      </c>
      <c r="AP29" s="168">
        <v>6.1778220774319832E-2</v>
      </c>
      <c r="AQ29" s="32">
        <f t="shared" si="7"/>
        <v>32270.767257411404</v>
      </c>
      <c r="AR29" s="32">
        <f t="shared" si="8"/>
        <v>32294.242082201374</v>
      </c>
      <c r="AS29" s="32">
        <f t="shared" si="9"/>
        <v>32132.812747258271</v>
      </c>
      <c r="AT29" s="104">
        <v>0.1</v>
      </c>
      <c r="AU29" s="104">
        <v>7.0000000000000007E-2</v>
      </c>
      <c r="AV29" s="142">
        <v>43709</v>
      </c>
      <c r="AW29" s="104">
        <v>0.1</v>
      </c>
      <c r="AX29" s="104">
        <v>7.0000000000000007E-2</v>
      </c>
      <c r="AY29" s="32">
        <v>0</v>
      </c>
      <c r="AZ29" s="32">
        <v>0</v>
      </c>
      <c r="BA29" s="140">
        <f t="shared" si="10"/>
        <v>43709</v>
      </c>
      <c r="BB29" s="32">
        <v>0</v>
      </c>
      <c r="BC29" s="32">
        <v>0</v>
      </c>
      <c r="BD29" s="104">
        <v>0.20300000000000001</v>
      </c>
      <c r="BE29" s="104">
        <v>0.126</v>
      </c>
    </row>
    <row r="30" spans="1:57" x14ac:dyDescent="0.25">
      <c r="A30" s="31">
        <v>21</v>
      </c>
      <c r="B30" s="31">
        <v>36</v>
      </c>
      <c r="C30" s="70" t="str">
        <f>IF($J$1="ENG","Raiffeisen Bank Aval","Райффайзен Банк Аваль")</f>
        <v>Raiffeisen Bank Aval</v>
      </c>
      <c r="D30" s="130" t="str">
        <f>IF($J$1="ENG","Foreign banks","Банки іноземних банківських груп")</f>
        <v>Foreign banks</v>
      </c>
      <c r="E30" s="32">
        <v>5261.7470000000003</v>
      </c>
      <c r="F30" s="32">
        <v>10395.575000000001</v>
      </c>
      <c r="G30" s="168">
        <v>0.175697730381735</v>
      </c>
      <c r="H30" s="168">
        <v>8.8929856591980896E-2</v>
      </c>
      <c r="I30" s="32">
        <f t="shared" si="1"/>
        <v>59167.384291885493</v>
      </c>
      <c r="J30" s="92" t="str">
        <f t="shared" si="2"/>
        <v>no</v>
      </c>
      <c r="K30" s="32">
        <v>5261.7460000000001</v>
      </c>
      <c r="L30" s="32">
        <v>10397.271000000001</v>
      </c>
      <c r="M30" s="168">
        <v>0.17573730722264375</v>
      </c>
      <c r="N30" s="168">
        <v>8.8935366496426152E-2</v>
      </c>
      <c r="O30" s="32">
        <f t="shared" si="3"/>
        <v>59163.707389809228</v>
      </c>
      <c r="P30" s="32">
        <v>10245.772999999999</v>
      </c>
      <c r="Q30" s="32">
        <v>13871.793</v>
      </c>
      <c r="R30" s="32">
        <v>17154.241000000002</v>
      </c>
      <c r="S30" s="32">
        <v>10603.231</v>
      </c>
      <c r="T30" s="32">
        <v>14229.252</v>
      </c>
      <c r="U30" s="32">
        <v>17511.7</v>
      </c>
      <c r="V30" s="168">
        <v>0.17706919413980229</v>
      </c>
      <c r="W30" s="168">
        <v>0.2374071036447119</v>
      </c>
      <c r="X30" s="168">
        <v>0.29578631489896096</v>
      </c>
      <c r="Y30" s="168">
        <v>0.17109979285696206</v>
      </c>
      <c r="Z30" s="168">
        <v>0.2314431033636721</v>
      </c>
      <c r="AA30" s="168">
        <v>0.28974855578927344</v>
      </c>
      <c r="AB30" s="32">
        <f t="shared" si="4"/>
        <v>59881.855079540488</v>
      </c>
      <c r="AC30" s="32">
        <f t="shared" si="5"/>
        <v>59936.082771077083</v>
      </c>
      <c r="AD30" s="32">
        <f t="shared" si="6"/>
        <v>59203.887844313649</v>
      </c>
      <c r="AE30" s="32">
        <v>8107.6540000000005</v>
      </c>
      <c r="AF30" s="32">
        <v>10076.134</v>
      </c>
      <c r="AG30" s="32">
        <v>12549.359</v>
      </c>
      <c r="AH30" s="32">
        <v>8465.1129999999994</v>
      </c>
      <c r="AI30" s="32">
        <v>10433.592000000001</v>
      </c>
      <c r="AJ30" s="32">
        <v>12906.816999999999</v>
      </c>
      <c r="AK30" s="168">
        <v>0.13537632550698375</v>
      </c>
      <c r="AL30" s="168">
        <v>0.164454458939465</v>
      </c>
      <c r="AM30" s="168">
        <v>0.20443069747780696</v>
      </c>
      <c r="AN30" s="168">
        <v>0.12965974971743061</v>
      </c>
      <c r="AO30" s="168">
        <v>0.15882018717575197</v>
      </c>
      <c r="AP30" s="168">
        <v>0.19876891800755381</v>
      </c>
      <c r="AQ30" s="32">
        <f t="shared" si="7"/>
        <v>62530.230219240198</v>
      </c>
      <c r="AR30" s="32">
        <f t="shared" si="8"/>
        <v>63443.660275060953</v>
      </c>
      <c r="AS30" s="32">
        <f t="shared" si="9"/>
        <v>63135.419389479634</v>
      </c>
      <c r="AT30" s="104">
        <v>0.1</v>
      </c>
      <c r="AU30" s="104">
        <v>7.0000000000000007E-2</v>
      </c>
      <c r="AV30" s="142">
        <v>43709</v>
      </c>
      <c r="AW30" s="104">
        <v>0.1</v>
      </c>
      <c r="AX30" s="104">
        <v>7.0000000000000007E-2</v>
      </c>
      <c r="AY30" s="32">
        <v>0</v>
      </c>
      <c r="AZ30" s="32">
        <v>0</v>
      </c>
      <c r="BA30" s="140">
        <f t="shared" si="10"/>
        <v>43709</v>
      </c>
      <c r="BB30" s="32">
        <v>0</v>
      </c>
      <c r="BC30" s="32">
        <v>0</v>
      </c>
      <c r="BD30" s="104">
        <v>0.19400000000000001</v>
      </c>
      <c r="BE30" s="104">
        <v>0.122</v>
      </c>
    </row>
    <row r="31" spans="1:57" x14ac:dyDescent="0.25">
      <c r="A31" s="31">
        <v>22</v>
      </c>
      <c r="B31" s="31">
        <v>299</v>
      </c>
      <c r="C31" s="70" t="str">
        <f>IF($J$1="ENG","Sberbank","Сбербанк")</f>
        <v>Sberbank</v>
      </c>
      <c r="D31" s="130" t="str">
        <f>IF($J$1="ENG","Banks owned by Russia","Банки з державним російським капіталом")</f>
        <v>Banks owned by Russia</v>
      </c>
      <c r="E31" s="32">
        <v>4319.1620000000003</v>
      </c>
      <c r="F31" s="32">
        <v>4427.6450000000004</v>
      </c>
      <c r="G31" s="168">
        <v>0.19529725301188808</v>
      </c>
      <c r="H31" s="168">
        <v>0.19051220630830826</v>
      </c>
      <c r="I31" s="32">
        <f t="shared" si="1"/>
        <v>22671.313737295379</v>
      </c>
      <c r="J31" s="92" t="str">
        <f t="shared" si="2"/>
        <v>no</v>
      </c>
      <c r="K31" s="32">
        <v>4319.1620000000003</v>
      </c>
      <c r="L31" s="32">
        <v>4427.6450000000004</v>
      </c>
      <c r="M31" s="168">
        <v>0.19529725301188808</v>
      </c>
      <c r="N31" s="168">
        <v>0.19051220630830826</v>
      </c>
      <c r="O31" s="32">
        <f t="shared" si="3"/>
        <v>22671.313737295379</v>
      </c>
      <c r="P31" s="32">
        <v>3505.2719999999999</v>
      </c>
      <c r="Q31" s="32">
        <v>2250.4920000000002</v>
      </c>
      <c r="R31" s="32">
        <v>321.79300000000001</v>
      </c>
      <c r="S31" s="32">
        <v>3613.7550000000001</v>
      </c>
      <c r="T31" s="32">
        <v>2358.9749999999999</v>
      </c>
      <c r="U31" s="32">
        <v>430.27600000000001</v>
      </c>
      <c r="V31" s="168">
        <v>0.15791116902267743</v>
      </c>
      <c r="W31" s="168">
        <v>0.10976463309552284</v>
      </c>
      <c r="X31" s="168">
        <v>2.300399558869605E-2</v>
      </c>
      <c r="Y31" s="168">
        <v>0.15317074711410564</v>
      </c>
      <c r="Z31" s="168">
        <v>0.10471683508375972</v>
      </c>
      <c r="AA31" s="168">
        <v>1.720411397656697E-2</v>
      </c>
      <c r="AB31" s="32">
        <f t="shared" si="4"/>
        <v>22884.735277740223</v>
      </c>
      <c r="AC31" s="32">
        <f t="shared" si="5"/>
        <v>21491.214838568241</v>
      </c>
      <c r="AD31" s="32">
        <f t="shared" si="6"/>
        <v>18704.421537679958</v>
      </c>
      <c r="AE31" s="32">
        <v>-230.06800000000001</v>
      </c>
      <c r="AF31" s="32">
        <v>-1714.5139999999999</v>
      </c>
      <c r="AG31" s="32">
        <v>-3691.248</v>
      </c>
      <c r="AH31" s="32">
        <v>-230.178</v>
      </c>
      <c r="AI31" s="32">
        <v>-1714.624</v>
      </c>
      <c r="AJ31" s="32">
        <v>-3691.3580000000002</v>
      </c>
      <c r="AK31" s="168">
        <v>-9.0426529015326107E-3</v>
      </c>
      <c r="AL31" s="168">
        <v>-6.7892305423965668E-2</v>
      </c>
      <c r="AM31" s="168">
        <v>-0.16264878606004071</v>
      </c>
      <c r="AN31" s="168">
        <v>-9.0383315047812256E-3</v>
      </c>
      <c r="AO31" s="168">
        <v>-6.7887949860802932E-2</v>
      </c>
      <c r="AP31" s="168">
        <v>-0.16264393923494699</v>
      </c>
      <c r="AQ31" s="32">
        <f t="shared" si="7"/>
        <v>25454.698124127815</v>
      </c>
      <c r="AR31" s="32">
        <f t="shared" si="8"/>
        <v>25255.056361481376</v>
      </c>
      <c r="AS31" s="32">
        <f t="shared" si="9"/>
        <v>22695.26929415928</v>
      </c>
      <c r="AT31" s="104">
        <v>0.40799999999999997</v>
      </c>
      <c r="AU31" s="104">
        <v>0.38800000000000001</v>
      </c>
      <c r="AV31" s="142">
        <v>43709</v>
      </c>
      <c r="AW31" s="104">
        <v>0.1</v>
      </c>
      <c r="AX31" s="104">
        <v>7.0000000000000007E-2</v>
      </c>
      <c r="AY31" s="32">
        <v>1440.164</v>
      </c>
      <c r="AZ31" s="32">
        <v>4758.92</v>
      </c>
      <c r="BA31" s="140">
        <f t="shared" si="10"/>
        <v>43709</v>
      </c>
      <c r="BB31" s="32">
        <v>0</v>
      </c>
      <c r="BC31" s="32">
        <v>0</v>
      </c>
      <c r="BD31" s="104">
        <v>0.54500000000000004</v>
      </c>
      <c r="BE31" s="104">
        <v>0.51600000000000001</v>
      </c>
    </row>
    <row r="32" spans="1:57" x14ac:dyDescent="0.25">
      <c r="A32" s="31">
        <v>23</v>
      </c>
      <c r="B32" s="31">
        <v>62</v>
      </c>
      <c r="C32" s="70" t="str">
        <f>IF($J$1="ENG","Taskombank","Таскомбанк")</f>
        <v>Taskombank</v>
      </c>
      <c r="D32" s="130" t="str">
        <f>IF($J$1="ENG","Private banks","Банки з приватним капіталом")</f>
        <v>Private banks</v>
      </c>
      <c r="E32" s="32">
        <v>1253.7860000000001</v>
      </c>
      <c r="F32" s="32">
        <v>2236.6089999999999</v>
      </c>
      <c r="G32" s="168">
        <v>0.15579999999999999</v>
      </c>
      <c r="H32" s="168">
        <v>8.7378513301900898E-2</v>
      </c>
      <c r="I32" s="32">
        <f t="shared" si="1"/>
        <v>14348.905155527798</v>
      </c>
      <c r="J32" s="92" t="str">
        <f t="shared" si="2"/>
        <v>no</v>
      </c>
      <c r="K32" s="32">
        <v>1253.7860000000001</v>
      </c>
      <c r="L32" s="32">
        <v>2232.1019999999999</v>
      </c>
      <c r="M32" s="168">
        <v>0.15555910482948632</v>
      </c>
      <c r="N32" s="168">
        <v>8.7378513301900898E-2</v>
      </c>
      <c r="O32" s="32">
        <f t="shared" si="3"/>
        <v>14348.905155527798</v>
      </c>
      <c r="P32" s="32">
        <v>2122.6260000000002</v>
      </c>
      <c r="Q32" s="32">
        <v>2402.4780000000001</v>
      </c>
      <c r="R32" s="32">
        <v>2629.2350000000001</v>
      </c>
      <c r="S32" s="32">
        <v>2494.4380000000001</v>
      </c>
      <c r="T32" s="32">
        <v>2784.47</v>
      </c>
      <c r="U32" s="32">
        <v>3014.2809999999999</v>
      </c>
      <c r="V32" s="168">
        <v>0.17013128559582094</v>
      </c>
      <c r="W32" s="168">
        <v>0.18850668498682679</v>
      </c>
      <c r="X32" s="168">
        <v>0.20582840557818285</v>
      </c>
      <c r="Y32" s="168">
        <v>0.14477208286667728</v>
      </c>
      <c r="Z32" s="168">
        <v>0.16264608042914014</v>
      </c>
      <c r="AA32" s="168">
        <v>0.17953576241991373</v>
      </c>
      <c r="AB32" s="32">
        <f t="shared" si="4"/>
        <v>14661.846109893697</v>
      </c>
      <c r="AC32" s="32">
        <f t="shared" si="5"/>
        <v>14771.201332740909</v>
      </c>
      <c r="AD32" s="32">
        <f t="shared" si="6"/>
        <v>14644.631044875163</v>
      </c>
      <c r="AE32" s="32">
        <v>1000.357</v>
      </c>
      <c r="AF32" s="32">
        <v>530.28300000000002</v>
      </c>
      <c r="AG32" s="32">
        <v>452.15100000000001</v>
      </c>
      <c r="AH32" s="32">
        <v>1433.2470000000001</v>
      </c>
      <c r="AI32" s="32">
        <v>1007.963</v>
      </c>
      <c r="AJ32" s="32">
        <v>904.30200000000002</v>
      </c>
      <c r="AK32" s="168">
        <v>9.2106159047664879E-2</v>
      </c>
      <c r="AL32" s="168">
        <v>6.2942690534009013E-2</v>
      </c>
      <c r="AM32" s="168">
        <v>5.6190965771356051E-2</v>
      </c>
      <c r="AN32" s="168">
        <v>6.4286932685300585E-2</v>
      </c>
      <c r="AO32" s="168">
        <v>3.3113752129961919E-2</v>
      </c>
      <c r="AP32" s="168">
        <v>2.8095482885678025E-2</v>
      </c>
      <c r="AQ32" s="32">
        <f t="shared" si="7"/>
        <v>15560.813966610898</v>
      </c>
      <c r="AR32" s="32">
        <f t="shared" si="8"/>
        <v>16013.981077070104</v>
      </c>
      <c r="AS32" s="32">
        <f t="shared" si="9"/>
        <v>16093.369949889306</v>
      </c>
      <c r="AT32" s="104">
        <v>0.13900000000000001</v>
      </c>
      <c r="AU32" s="104">
        <v>0.13900000000000001</v>
      </c>
      <c r="AV32" s="142">
        <v>43709</v>
      </c>
      <c r="AW32" s="104">
        <v>0.1</v>
      </c>
      <c r="AX32" s="104">
        <v>7.0000000000000007E-2</v>
      </c>
      <c r="AY32" s="32">
        <v>0</v>
      </c>
      <c r="AZ32" s="32">
        <v>111.117</v>
      </c>
      <c r="BA32" s="140">
        <f t="shared" si="10"/>
        <v>43709</v>
      </c>
      <c r="BB32" s="32">
        <v>0</v>
      </c>
      <c r="BC32" s="32">
        <v>0</v>
      </c>
      <c r="BD32" s="104">
        <v>0.16200000000000001</v>
      </c>
      <c r="BE32" s="104">
        <v>9.0999999999999998E-2</v>
      </c>
    </row>
    <row r="33" spans="1:57" x14ac:dyDescent="0.25">
      <c r="A33" s="31">
        <v>24</v>
      </c>
      <c r="B33" s="31">
        <v>274</v>
      </c>
      <c r="C33" s="70" t="str">
        <f>IF($J$1="ENG","Ukrgasbank","Укргазбанк")</f>
        <v>Ukrgasbank</v>
      </c>
      <c r="D33" s="130" t="str">
        <f>IF($J$1="ENG","State-owned banks","Банки з державною часткою")</f>
        <v>State-owned banks</v>
      </c>
      <c r="E33" s="32">
        <v>6229.2920000000004</v>
      </c>
      <c r="F33" s="32">
        <v>6638.7579999999998</v>
      </c>
      <c r="G33" s="168">
        <v>0.14065855139648742</v>
      </c>
      <c r="H33" s="168">
        <v>0.13198300575941255</v>
      </c>
      <c r="I33" s="32">
        <f t="shared" si="1"/>
        <v>47197.682490692554</v>
      </c>
      <c r="J33" s="92" t="str">
        <f t="shared" si="2"/>
        <v>no</v>
      </c>
      <c r="K33" s="32">
        <v>6229.2920000000004</v>
      </c>
      <c r="L33" s="32">
        <v>6638.7579999999998</v>
      </c>
      <c r="M33" s="168">
        <v>0.14065855139648742</v>
      </c>
      <c r="N33" s="168">
        <v>0.13198300575941255</v>
      </c>
      <c r="O33" s="32">
        <f t="shared" si="3"/>
        <v>47197.682490692554</v>
      </c>
      <c r="P33" s="32">
        <v>9169.5470000000005</v>
      </c>
      <c r="Q33" s="32">
        <v>11309.554</v>
      </c>
      <c r="R33" s="32">
        <v>13119.414000000001</v>
      </c>
      <c r="S33" s="32">
        <v>8987.9940000000006</v>
      </c>
      <c r="T33" s="32">
        <v>11128.001</v>
      </c>
      <c r="U33" s="32">
        <v>12937.861000000001</v>
      </c>
      <c r="V33" s="168">
        <v>0.18492702076372727</v>
      </c>
      <c r="W33" s="168">
        <v>0.2266631357150283</v>
      </c>
      <c r="X33" s="168">
        <v>0.26538007648003109</v>
      </c>
      <c r="Y33" s="168">
        <v>0.18866244306552332</v>
      </c>
      <c r="Z33" s="168">
        <v>0.23036112663617311</v>
      </c>
      <c r="AA33" s="168">
        <v>0.26910406158197403</v>
      </c>
      <c r="AB33" s="32">
        <f t="shared" si="4"/>
        <v>48602.927275861548</v>
      </c>
      <c r="AC33" s="32">
        <f t="shared" si="5"/>
        <v>49094.889251266948</v>
      </c>
      <c r="AD33" s="32">
        <f t="shared" si="6"/>
        <v>48752.196168557595</v>
      </c>
      <c r="AE33" s="32">
        <v>6521.0050000000001</v>
      </c>
      <c r="AF33" s="32">
        <v>6658.4359999999997</v>
      </c>
      <c r="AG33" s="32">
        <v>7841.0780000000004</v>
      </c>
      <c r="AH33" s="32">
        <v>6339.4530000000004</v>
      </c>
      <c r="AI33" s="32">
        <v>6476.884</v>
      </c>
      <c r="AJ33" s="32">
        <v>7659.5249999999996</v>
      </c>
      <c r="AK33" s="168">
        <v>0.12163871734318389</v>
      </c>
      <c r="AL33" s="168">
        <v>0.12040227605442187</v>
      </c>
      <c r="AM33" s="168">
        <v>0.14188630645988748</v>
      </c>
      <c r="AN33" s="168">
        <v>0.12512226842989535</v>
      </c>
      <c r="AO33" s="168">
        <v>0.1237772523076912</v>
      </c>
      <c r="AP33" s="168">
        <v>0.14524941401846503</v>
      </c>
      <c r="AQ33" s="32">
        <f t="shared" si="7"/>
        <v>52117.061829434853</v>
      </c>
      <c r="AR33" s="32">
        <f t="shared" si="8"/>
        <v>53793.696950455429</v>
      </c>
      <c r="AS33" s="32">
        <f t="shared" si="9"/>
        <v>53983.543086811987</v>
      </c>
      <c r="AT33" s="104">
        <v>0.1</v>
      </c>
      <c r="AU33" s="104">
        <v>7.0000000000000007E-2</v>
      </c>
      <c r="AV33" s="142">
        <v>43709</v>
      </c>
      <c r="AW33" s="104">
        <v>0.1</v>
      </c>
      <c r="AX33" s="104">
        <v>7.0000000000000007E-2</v>
      </c>
      <c r="AY33" s="32">
        <v>0</v>
      </c>
      <c r="AZ33" s="32">
        <v>0</v>
      </c>
      <c r="BA33" s="140">
        <f t="shared" si="10"/>
        <v>43709</v>
      </c>
      <c r="BB33" s="32">
        <v>0</v>
      </c>
      <c r="BC33" s="32">
        <v>0</v>
      </c>
      <c r="BD33" s="104">
        <v>0.14499999999999999</v>
      </c>
      <c r="BE33" s="104">
        <v>0.14199999999999999</v>
      </c>
    </row>
    <row r="34" spans="1:57" x14ac:dyDescent="0.25">
      <c r="A34" s="31">
        <v>25</v>
      </c>
      <c r="B34" s="31">
        <v>2</v>
      </c>
      <c r="C34" s="70" t="str">
        <f>IF($J$1="ENG","Ukreximbank","Укрексімбанк")</f>
        <v>Ukreximbank</v>
      </c>
      <c r="D34" s="130" t="str">
        <f>IF($J$1="ENG","State-owned banks","Банки з державною часткою")</f>
        <v>State-owned banks</v>
      </c>
      <c r="E34" s="32">
        <v>7266.8019999999997</v>
      </c>
      <c r="F34" s="32">
        <v>11147.236999999999</v>
      </c>
      <c r="G34" s="168">
        <v>0.1275</v>
      </c>
      <c r="H34" s="168">
        <v>8.3099999999999993E-2</v>
      </c>
      <c r="I34" s="32">
        <f t="shared" si="1"/>
        <v>87446.474127557158</v>
      </c>
      <c r="J34" s="105" t="str">
        <f t="shared" si="2"/>
        <v>no</v>
      </c>
      <c r="K34" s="32">
        <v>7243.9549999999999</v>
      </c>
      <c r="L34" s="32">
        <v>11036.553</v>
      </c>
      <c r="M34" s="168">
        <v>0.12685617113334924</v>
      </c>
      <c r="N34" s="168">
        <v>8.3263358717518776E-2</v>
      </c>
      <c r="O34" s="32">
        <f t="shared" si="3"/>
        <v>87000.513930455432</v>
      </c>
      <c r="P34" s="32">
        <v>1807.6189999999999</v>
      </c>
      <c r="Q34" s="32">
        <v>414.233</v>
      </c>
      <c r="R34" s="32">
        <v>-2912.252</v>
      </c>
      <c r="S34" s="32">
        <v>3610.39</v>
      </c>
      <c r="T34" s="32">
        <v>823.61599999999999</v>
      </c>
      <c r="U34" s="32">
        <v>-2917.1010000000001</v>
      </c>
      <c r="V34" s="168">
        <v>4.1460807259374954E-2</v>
      </c>
      <c r="W34" s="168">
        <v>9.5222003128768561E-3</v>
      </c>
      <c r="X34" s="168">
        <v>-3.5696943332663496E-2</v>
      </c>
      <c r="Y34" s="168">
        <v>2.0758247080209933E-2</v>
      </c>
      <c r="Z34" s="168">
        <v>4.7891320066387535E-3</v>
      </c>
      <c r="AA34" s="168">
        <v>-3.5637603152037026E-2</v>
      </c>
      <c r="AB34" s="32">
        <f t="shared" si="4"/>
        <v>87079.558934593777</v>
      </c>
      <c r="AC34" s="32">
        <f t="shared" si="5"/>
        <v>86494.379237361834</v>
      </c>
      <c r="AD34" s="32">
        <f t="shared" si="6"/>
        <v>81718.514782707469</v>
      </c>
      <c r="AE34" s="32">
        <v>-6527.2340000000004</v>
      </c>
      <c r="AF34" s="32">
        <v>-9047.24</v>
      </c>
      <c r="AG34" s="32">
        <v>-14001.2</v>
      </c>
      <c r="AH34" s="32">
        <v>-6532.0829999999996</v>
      </c>
      <c r="AI34" s="32">
        <v>-9052.0889999999999</v>
      </c>
      <c r="AJ34" s="32">
        <v>-14006.049000000001</v>
      </c>
      <c r="AK34" s="168">
        <v>-6.6280686143532538E-2</v>
      </c>
      <c r="AL34" s="168">
        <v>-8.6985643832312762E-2</v>
      </c>
      <c r="AM34" s="168">
        <v>-0.13892485288753553</v>
      </c>
      <c r="AN34" s="168">
        <v>-6.6231481658947267E-2</v>
      </c>
      <c r="AO34" s="168">
        <v>-8.6939045740186127E-2</v>
      </c>
      <c r="AP34" s="168">
        <v>-0.13887675415005457</v>
      </c>
      <c r="AQ34" s="32">
        <f t="shared" si="7"/>
        <v>98551.834210977991</v>
      </c>
      <c r="AR34" s="32">
        <f t="shared" si="8"/>
        <v>104064.1741920807</v>
      </c>
      <c r="AS34" s="32">
        <f t="shared" si="9"/>
        <v>100817.44843252804</v>
      </c>
      <c r="AT34" s="104">
        <v>0.28599999999999998</v>
      </c>
      <c r="AU34" s="104">
        <v>0.27300000000000002</v>
      </c>
      <c r="AV34" s="142">
        <v>43709</v>
      </c>
      <c r="AW34" s="104">
        <v>0.22</v>
      </c>
      <c r="AX34" s="104">
        <v>0.21199999999999999</v>
      </c>
      <c r="AY34" s="32">
        <v>9775.9439999999995</v>
      </c>
      <c r="AZ34" s="32">
        <v>17529.811000000002</v>
      </c>
      <c r="BA34" s="140">
        <f t="shared" si="10"/>
        <v>43709</v>
      </c>
      <c r="BB34" s="32">
        <v>3671</v>
      </c>
      <c r="BC34" s="32">
        <v>12188</v>
      </c>
      <c r="BD34" s="104">
        <v>0.153</v>
      </c>
      <c r="BE34" s="104">
        <v>9.7000000000000003E-2</v>
      </c>
    </row>
    <row r="35" spans="1:57" x14ac:dyDescent="0.25">
      <c r="A35" s="31">
        <v>26</v>
      </c>
      <c r="B35" s="31">
        <v>136</v>
      </c>
      <c r="C35" s="70" t="str">
        <f>IF($J$1="ENG","Ukrsibbank","УкрСиббанк")</f>
        <v>Ukrsibbank</v>
      </c>
      <c r="D35" s="130" t="str">
        <f>IF($J$1="ENG","Foreign banks","Банки іноземних банківських груп")</f>
        <v>Foreign banks</v>
      </c>
      <c r="E35" s="32">
        <v>3583.6550000000002</v>
      </c>
      <c r="F35" s="32">
        <v>6153.4430000000002</v>
      </c>
      <c r="G35" s="168">
        <v>0.19663927526469593</v>
      </c>
      <c r="H35" s="168">
        <v>0.11452937094680737</v>
      </c>
      <c r="I35" s="32">
        <f t="shared" si="1"/>
        <v>31290.270525142514</v>
      </c>
      <c r="J35" s="105" t="str">
        <f t="shared" si="2"/>
        <v>no</v>
      </c>
      <c r="K35" s="32">
        <v>3583.6550000000002</v>
      </c>
      <c r="L35" s="32">
        <v>6153.3580000000002</v>
      </c>
      <c r="M35" s="168">
        <v>0.19682002245194644</v>
      </c>
      <c r="N35" s="168">
        <v>0.11462603596151118</v>
      </c>
      <c r="O35" s="32">
        <f t="shared" si="3"/>
        <v>31263.883200177228</v>
      </c>
      <c r="P35" s="32">
        <v>5048.2749999999996</v>
      </c>
      <c r="Q35" s="32">
        <v>6720.1779999999999</v>
      </c>
      <c r="R35" s="32">
        <v>8267.8330000000005</v>
      </c>
      <c r="S35" s="32">
        <v>5188.8609999999999</v>
      </c>
      <c r="T35" s="32">
        <v>6545.7740000000003</v>
      </c>
      <c r="U35" s="32">
        <v>8093.4290000000001</v>
      </c>
      <c r="V35" s="168">
        <v>0.16246301939148097</v>
      </c>
      <c r="W35" s="168">
        <v>0.20394587887040341</v>
      </c>
      <c r="X35" s="168">
        <v>0.25373950459738309</v>
      </c>
      <c r="Y35" s="168">
        <v>0.15806127891689675</v>
      </c>
      <c r="Z35" s="168">
        <v>0.20937975230178069</v>
      </c>
      <c r="AA35" s="168">
        <v>0.25920728565762952</v>
      </c>
      <c r="AB35" s="32">
        <f t="shared" si="4"/>
        <v>31938.720441799102</v>
      </c>
      <c r="AC35" s="32">
        <f t="shared" si="5"/>
        <v>32095.644044483128</v>
      </c>
      <c r="AD35" s="32">
        <f t="shared" si="6"/>
        <v>31896.607300307358</v>
      </c>
      <c r="AE35" s="32">
        <v>3663.944</v>
      </c>
      <c r="AF35" s="32">
        <v>4356.3310000000001</v>
      </c>
      <c r="AG35" s="32">
        <v>5331.8130000000001</v>
      </c>
      <c r="AH35" s="32">
        <v>3868.8130000000001</v>
      </c>
      <c r="AI35" s="32">
        <v>4181.9269999999997</v>
      </c>
      <c r="AJ35" s="32">
        <v>5157.4089999999997</v>
      </c>
      <c r="AK35" s="168">
        <v>0.11575010818097689</v>
      </c>
      <c r="AL35" s="168">
        <v>0.12255541481703025</v>
      </c>
      <c r="AM35" s="168">
        <v>0.15082778289613016</v>
      </c>
      <c r="AN35" s="168">
        <v>0.10962066411773205</v>
      </c>
      <c r="AO35" s="168">
        <v>0.12766648256277535</v>
      </c>
      <c r="AP35" s="168">
        <v>0.15592819596501781</v>
      </c>
      <c r="AQ35" s="32">
        <f t="shared" si="7"/>
        <v>33423.84421303033</v>
      </c>
      <c r="AR35" s="32">
        <f t="shared" si="8"/>
        <v>34122.746335224932</v>
      </c>
      <c r="AS35" s="32">
        <f t="shared" si="9"/>
        <v>34194.027366264032</v>
      </c>
      <c r="AT35" s="104">
        <v>0.1</v>
      </c>
      <c r="AU35" s="104">
        <v>7.0000000000000007E-2</v>
      </c>
      <c r="AV35" s="142">
        <v>43709</v>
      </c>
      <c r="AW35" s="104">
        <v>0.1</v>
      </c>
      <c r="AX35" s="104">
        <v>7.0000000000000007E-2</v>
      </c>
      <c r="AY35" s="32">
        <v>0</v>
      </c>
      <c r="AZ35" s="32">
        <v>0</v>
      </c>
      <c r="BA35" s="140">
        <f t="shared" si="10"/>
        <v>43709</v>
      </c>
      <c r="BB35" s="32">
        <v>0</v>
      </c>
      <c r="BC35" s="32">
        <v>0</v>
      </c>
      <c r="BD35" s="104">
        <v>0.22</v>
      </c>
      <c r="BE35" s="104">
        <v>0.129</v>
      </c>
    </row>
    <row r="36" spans="1:57" x14ac:dyDescent="0.25">
      <c r="A36" s="31">
        <v>27</v>
      </c>
      <c r="B36" s="130">
        <v>5</v>
      </c>
      <c r="C36" s="131" t="str">
        <f>IF($J$1="ENG","Ukrsotsbank**","Укрсоцбанк**")</f>
        <v>Ukrsotsbank**</v>
      </c>
      <c r="D36" s="130" t="str">
        <f>IF($J$1="ENG","Foreign banks","Банки іноземних банківських груп")</f>
        <v>Foreign banks</v>
      </c>
      <c r="E36" s="32">
        <v>2188.9690000000001</v>
      </c>
      <c r="F36" s="32">
        <v>2214.777</v>
      </c>
      <c r="G36" s="168">
        <v>0.16638000000000003</v>
      </c>
      <c r="H36" s="168">
        <v>0.164436</v>
      </c>
      <c r="I36" s="32">
        <f t="shared" si="1"/>
        <v>13311.981561215305</v>
      </c>
      <c r="J36" s="133" t="str">
        <f t="shared" si="2"/>
        <v>no</v>
      </c>
      <c r="K36" s="32">
        <v>2188.9690000000001</v>
      </c>
      <c r="L36" s="32">
        <v>2214.7779999999998</v>
      </c>
      <c r="M36" s="168">
        <v>0.1663752073388913</v>
      </c>
      <c r="N36" s="168">
        <v>0.16443648239845809</v>
      </c>
      <c r="O36" s="32">
        <f t="shared" si="3"/>
        <v>13311.942508571479</v>
      </c>
      <c r="P36" s="32">
        <v>1078.732</v>
      </c>
      <c r="Q36" s="32">
        <v>469.38200000000001</v>
      </c>
      <c r="R36" s="32">
        <v>-296.52600000000001</v>
      </c>
      <c r="S36" s="32">
        <v>1703.943</v>
      </c>
      <c r="T36" s="32">
        <v>930.09299999999996</v>
      </c>
      <c r="U36" s="32">
        <v>-305.19799999999998</v>
      </c>
      <c r="V36" s="168">
        <v>0.12532306029950727</v>
      </c>
      <c r="W36" s="168">
        <v>6.9960997606085901E-2</v>
      </c>
      <c r="X36" s="168">
        <v>-2.4418521222683884E-2</v>
      </c>
      <c r="Y36" s="168">
        <v>7.9339515397003194E-2</v>
      </c>
      <c r="Z36" s="168">
        <v>3.5306640683965204E-2</v>
      </c>
      <c r="AA36" s="168">
        <v>-2.3724703565662138E-2</v>
      </c>
      <c r="AB36" s="132">
        <f t="shared" si="4"/>
        <v>13596.402682852104</v>
      </c>
      <c r="AC36" s="132">
        <f t="shared" si="5"/>
        <v>13294.439541884074</v>
      </c>
      <c r="AD36" s="132">
        <f t="shared" si="6"/>
        <v>12498.617703665466</v>
      </c>
      <c r="AE36" s="32">
        <v>-2898.5839999999998</v>
      </c>
      <c r="AF36" s="32">
        <v>-3573.723</v>
      </c>
      <c r="AG36" s="32">
        <v>-4319.3779999999997</v>
      </c>
      <c r="AH36" s="32">
        <v>-2907.2559999999999</v>
      </c>
      <c r="AI36" s="32">
        <v>-3582.395</v>
      </c>
      <c r="AJ36" s="32">
        <v>-4328.05</v>
      </c>
      <c r="AK36" s="168">
        <v>-0.2455494843415246</v>
      </c>
      <c r="AL36" s="169">
        <v>-0.30448108454658313</v>
      </c>
      <c r="AM36" s="168">
        <v>-0.38880738247329993</v>
      </c>
      <c r="AN36" s="168">
        <v>-0.24481705993003711</v>
      </c>
      <c r="AO36" s="168">
        <v>-0.30374403983272397</v>
      </c>
      <c r="AP36" s="168">
        <v>-0.38802836133708007</v>
      </c>
      <c r="AQ36" s="132">
        <f t="shared" si="7"/>
        <v>11839.795808463456</v>
      </c>
      <c r="AR36" s="132">
        <f t="shared" si="8"/>
        <v>11765.57407338132</v>
      </c>
      <c r="AS36" s="132">
        <f t="shared" si="9"/>
        <v>11131.603847502678</v>
      </c>
      <c r="AT36" s="104">
        <v>0.53</v>
      </c>
      <c r="AU36" s="104">
        <v>0.51800000000000002</v>
      </c>
      <c r="AV36" s="142">
        <v>43709</v>
      </c>
      <c r="AW36" s="131" t="str">
        <f>IF($J$1="ENG","Merged with Alfa-Bank","Приєднано до Альфа-Банку")</f>
        <v>Merged with Alfa-Bank</v>
      </c>
      <c r="AX36" s="131"/>
      <c r="AY36" s="32">
        <v>1171.4280000000001</v>
      </c>
      <c r="AZ36" s="32">
        <v>4860.7730000000001</v>
      </c>
      <c r="BA36" s="140">
        <f t="shared" si="10"/>
        <v>43709</v>
      </c>
      <c r="BB36" s="131" t="str">
        <f>IF($J$1="ENG","Merged with Alfa-Bank","Приєднано до Альфа-Банку")</f>
        <v>Merged with Alfa-Bank</v>
      </c>
      <c r="BC36" s="32"/>
      <c r="BD36" s="141" t="s">
        <v>125</v>
      </c>
      <c r="BE36" s="141" t="s">
        <v>125</v>
      </c>
    </row>
    <row r="37" spans="1:57" x14ac:dyDescent="0.25">
      <c r="A37" s="31">
        <v>28</v>
      </c>
      <c r="B37" s="31">
        <v>242</v>
      </c>
      <c r="C37" s="70" t="str">
        <f>IF($J$1="ENG","Universal","Універсал")</f>
        <v>Universal</v>
      </c>
      <c r="D37" s="130" t="str">
        <f>IF($J$1="ENG","Private banks","Банки з приватним капіталом")</f>
        <v>Private banks</v>
      </c>
      <c r="E37" s="32">
        <v>724</v>
      </c>
      <c r="F37" s="32">
        <v>724</v>
      </c>
      <c r="G37" s="168">
        <v>0.1229</v>
      </c>
      <c r="H37" s="168">
        <v>0.1229</v>
      </c>
      <c r="I37" s="32">
        <f t="shared" si="1"/>
        <v>5890.9682668836458</v>
      </c>
      <c r="J37" s="103" t="str">
        <f t="shared" si="2"/>
        <v>no</v>
      </c>
      <c r="K37" s="32">
        <v>704.11900000000003</v>
      </c>
      <c r="L37" s="32">
        <v>704.11900000000003</v>
      </c>
      <c r="M37" s="168">
        <v>0.11996852915147263</v>
      </c>
      <c r="N37" s="168">
        <v>0.11996852915147263</v>
      </c>
      <c r="O37" s="32">
        <f t="shared" si="3"/>
        <v>5869.1975718980202</v>
      </c>
      <c r="P37" s="32">
        <v>963.09699999999998</v>
      </c>
      <c r="Q37" s="32">
        <v>1239.595</v>
      </c>
      <c r="R37" s="32">
        <v>1545.7529999999999</v>
      </c>
      <c r="S37" s="32">
        <v>963.09699999999998</v>
      </c>
      <c r="T37" s="32">
        <v>1239.595</v>
      </c>
      <c r="U37" s="32">
        <v>1545.7529999999999</v>
      </c>
      <c r="V37" s="168">
        <v>0.16096295073578901</v>
      </c>
      <c r="W37" s="168">
        <v>0.20606999644893989</v>
      </c>
      <c r="X37" s="168">
        <v>0.25811548023524744</v>
      </c>
      <c r="Y37" s="168">
        <v>0.16096295073578901</v>
      </c>
      <c r="Z37" s="168">
        <v>0.20606999644893989</v>
      </c>
      <c r="AA37" s="168">
        <v>0.25811548023524744</v>
      </c>
      <c r="AB37" s="32">
        <f t="shared" si="4"/>
        <v>5983.3458295683567</v>
      </c>
      <c r="AC37" s="32">
        <f t="shared" si="5"/>
        <v>6015.4074894990708</v>
      </c>
      <c r="AD37" s="32">
        <f t="shared" si="6"/>
        <v>5988.6102088537837</v>
      </c>
      <c r="AE37" s="32">
        <v>-77.516000000000005</v>
      </c>
      <c r="AF37" s="32">
        <v>-186.678</v>
      </c>
      <c r="AG37" s="32">
        <v>22.277000000000001</v>
      </c>
      <c r="AH37" s="32">
        <v>-77.516000000000005</v>
      </c>
      <c r="AI37" s="32">
        <v>-186.678</v>
      </c>
      <c r="AJ37" s="32">
        <v>22.277000000000001</v>
      </c>
      <c r="AK37" s="168">
        <v>-1.371656648735432E-2</v>
      </c>
      <c r="AL37" s="168">
        <v>-3.340850177567397E-2</v>
      </c>
      <c r="AM37" s="168">
        <v>3.9830037920219078E-3</v>
      </c>
      <c r="AN37" s="168">
        <v>-1.371656648735432E-2</v>
      </c>
      <c r="AO37" s="168">
        <v>-3.340850177567397E-2</v>
      </c>
      <c r="AP37" s="168">
        <v>3.9830037920219078E-3</v>
      </c>
      <c r="AQ37" s="32">
        <f t="shared" si="7"/>
        <v>5651.2684913869762</v>
      </c>
      <c r="AR37" s="32">
        <f t="shared" si="8"/>
        <v>5587.739350105413</v>
      </c>
      <c r="AS37" s="32">
        <f t="shared" si="9"/>
        <v>5593.0150115903962</v>
      </c>
      <c r="AT37" s="104">
        <v>0.2</v>
      </c>
      <c r="AU37" s="104">
        <v>0.185</v>
      </c>
      <c r="AV37" s="142">
        <v>43709</v>
      </c>
      <c r="AW37" s="104">
        <v>0.192</v>
      </c>
      <c r="AX37" s="104">
        <v>0.17</v>
      </c>
      <c r="AY37" s="32">
        <v>0</v>
      </c>
      <c r="AZ37" s="32">
        <v>467.01799999999997</v>
      </c>
      <c r="BA37" s="140">
        <f t="shared" si="10"/>
        <v>43709</v>
      </c>
      <c r="BB37" s="32">
        <v>0</v>
      </c>
      <c r="BC37" s="32">
        <v>422.58100000000002</v>
      </c>
      <c r="BD37" s="104">
        <v>0.156</v>
      </c>
      <c r="BE37" s="104">
        <v>0.105</v>
      </c>
    </row>
    <row r="38" spans="1:57" x14ac:dyDescent="0.25">
      <c r="A38" s="31">
        <v>29</v>
      </c>
      <c r="B38" s="31">
        <v>325</v>
      </c>
      <c r="C38" s="70" t="str">
        <f>IF($J$1="ENG","Forward","Форвард")</f>
        <v>Forward</v>
      </c>
      <c r="D38" s="130" t="str">
        <f>IF($J$1="ENG","Foreign banks","Банки іноземних банківських груп")</f>
        <v>Foreign banks</v>
      </c>
      <c r="E38" s="32">
        <v>237.726</v>
      </c>
      <c r="F38" s="32">
        <v>237.726</v>
      </c>
      <c r="G38" s="168">
        <v>0.15790646380398141</v>
      </c>
      <c r="H38" s="168">
        <v>0.15790646380398141</v>
      </c>
      <c r="I38" s="32">
        <f t="shared" si="1"/>
        <v>1505.4861863989513</v>
      </c>
      <c r="J38" s="103" t="str">
        <f t="shared" si="2"/>
        <v>no</v>
      </c>
      <c r="K38" s="32">
        <v>237.726</v>
      </c>
      <c r="L38" s="32">
        <v>237.726</v>
      </c>
      <c r="M38" s="168">
        <v>0.15790646380398141</v>
      </c>
      <c r="N38" s="168">
        <v>0.15790646380398141</v>
      </c>
      <c r="O38" s="32">
        <f t="shared" si="3"/>
        <v>1505.4861863989513</v>
      </c>
      <c r="P38" s="32">
        <v>310.459</v>
      </c>
      <c r="Q38" s="32">
        <v>361.41699999999997</v>
      </c>
      <c r="R38" s="32">
        <v>388.488</v>
      </c>
      <c r="S38" s="32">
        <v>310.459</v>
      </c>
      <c r="T38" s="32">
        <v>361.41699999999997</v>
      </c>
      <c r="U38" s="32">
        <v>388.488</v>
      </c>
      <c r="V38" s="168">
        <v>0.2055071083955034</v>
      </c>
      <c r="W38" s="168">
        <v>0.23891241368649449</v>
      </c>
      <c r="X38" s="168">
        <v>0.25689659584834651</v>
      </c>
      <c r="Y38" s="168">
        <v>0.2055071083955034</v>
      </c>
      <c r="Z38" s="168">
        <v>0.23891241368649449</v>
      </c>
      <c r="AA38" s="168">
        <v>0.25689659584834651</v>
      </c>
      <c r="AB38" s="32">
        <f t="shared" si="4"/>
        <v>1510.697135607174</v>
      </c>
      <c r="AC38" s="32">
        <f t="shared" si="5"/>
        <v>1512.7594017540603</v>
      </c>
      <c r="AD38" s="32">
        <f t="shared" si="6"/>
        <v>1512.2349080457871</v>
      </c>
      <c r="AE38" s="32">
        <v>78.33</v>
      </c>
      <c r="AF38" s="32">
        <v>-82.527000000000001</v>
      </c>
      <c r="AG38" s="32">
        <v>-169.488</v>
      </c>
      <c r="AH38" s="32">
        <v>78.33</v>
      </c>
      <c r="AI38" s="32">
        <v>-82.527000000000001</v>
      </c>
      <c r="AJ38" s="32">
        <v>-169.488</v>
      </c>
      <c r="AK38" s="168">
        <v>5.5113528258604903E-2</v>
      </c>
      <c r="AL38" s="168">
        <v>-5.9882014565851835E-2</v>
      </c>
      <c r="AM38" s="168">
        <v>-0.12272824809619527</v>
      </c>
      <c r="AN38" s="168">
        <v>5.5113528258604903E-2</v>
      </c>
      <c r="AO38" s="168">
        <v>-5.9882014565851835E-2</v>
      </c>
      <c r="AP38" s="168">
        <v>-0.12272824809619527</v>
      </c>
      <c r="AQ38" s="32">
        <f t="shared" si="7"/>
        <v>1421.2481485935405</v>
      </c>
      <c r="AR38" s="32">
        <f t="shared" si="8"/>
        <v>1378.1600468575691</v>
      </c>
      <c r="AS38" s="32">
        <f t="shared" si="9"/>
        <v>1381.0023578854814</v>
      </c>
      <c r="AT38" s="104">
        <v>0.316</v>
      </c>
      <c r="AU38" s="104">
        <v>0.30299999999999999</v>
      </c>
      <c r="AV38" s="142">
        <v>43709</v>
      </c>
      <c r="AW38" s="104">
        <v>0.17399999999999999</v>
      </c>
      <c r="AX38" s="104">
        <v>0.158</v>
      </c>
      <c r="AY38" s="32">
        <v>0</v>
      </c>
      <c r="AZ38" s="32">
        <v>238.53800000000001</v>
      </c>
      <c r="BA38" s="140">
        <f t="shared" si="10"/>
        <v>43709</v>
      </c>
      <c r="BB38" s="32">
        <v>0</v>
      </c>
      <c r="BC38" s="32">
        <v>24</v>
      </c>
      <c r="BD38" s="104">
        <v>0.184</v>
      </c>
      <c r="BE38" s="104">
        <v>0.128</v>
      </c>
    </row>
    <row r="39" spans="1:57" x14ac:dyDescent="0.25">
      <c r="E39" s="110"/>
      <c r="F39" s="34"/>
      <c r="G39" s="34"/>
      <c r="AY39" s="59"/>
      <c r="AZ39" s="59"/>
      <c r="BA39" s="59"/>
      <c r="BB39" s="59"/>
      <c r="BC39" s="59"/>
    </row>
    <row r="40" spans="1:57" x14ac:dyDescent="0.25">
      <c r="A40" s="29" t="str">
        <f>IF($J$1="ENG","Note:","Примітки:")</f>
        <v>Note:</v>
      </c>
      <c r="D40" s="34"/>
      <c r="E40" s="110"/>
      <c r="F40" s="34"/>
      <c r="G40" s="34"/>
      <c r="H40" s="34"/>
      <c r="AY40" s="69"/>
      <c r="AZ40" s="69"/>
      <c r="BA40" s="69"/>
      <c r="BB40" s="69"/>
      <c r="BC40" s="69"/>
    </row>
    <row r="41" spans="1:57" x14ac:dyDescent="0.25">
      <c r="A41" s="29" t="str">
        <f>IF($J$1="ENG","Foreign banks do not include banks with state Russian capital.","Банки іноземних банківських груп не виключають банки із державним російським капіталом.")</f>
        <v>Foreign banks do not include banks with state Russian capital.</v>
      </c>
      <c r="D41" s="34"/>
      <c r="E41" s="110"/>
      <c r="F41" s="34"/>
      <c r="G41" s="34"/>
      <c r="H41" s="34"/>
    </row>
    <row r="42" spans="1:57" x14ac:dyDescent="0.25">
      <c r="A42" s="29" t="str">
        <f>IF($J$1="ENG","","ОК - основний капітал, РК - регулятивний капітал.")</f>
        <v/>
      </c>
      <c r="D42" s="34"/>
      <c r="E42" s="110"/>
      <c r="F42" s="34"/>
      <c r="G42" s="34"/>
      <c r="H42" s="34"/>
    </row>
    <row r="43" spans="1:57" x14ac:dyDescent="0.25">
      <c r="A43" s="29" t="str">
        <f>IF($J$1="ENG","* Capital need is given as a memo item; requirement for capitalization/restructuring plan was based on required (target) capital adequacy level, not on capital need in equivalent as of 1 Jan 2019","* Сума потреби в капіталі надається довідково, вимога до банку про складання програми капіталізації/реструктуризації надсилалась для досягнення необхідного (цільового) рівня нормативів, а не покриття суми потреби в капіталі в еквіваленті на 01.01.2019 р.")</f>
        <v>* Capital need is given as a memo item; requirement for capitalization/restructuring plan was based on required (target) capital adequacy level, not on capital need in equivalent as of 1 Jan 2019</v>
      </c>
      <c r="D43" s="34"/>
      <c r="E43" s="110"/>
      <c r="F43" s="34"/>
      <c r="G43" s="34"/>
      <c r="H43" s="34"/>
    </row>
    <row r="44" spans="1:57" x14ac:dyDescent="0.25">
      <c r="A44" s="29" t="str">
        <f>IF($J$1="ENG",$A$45,$A$46)</f>
        <v xml:space="preserve">** According to the art.21-1 ch. III of the NBU Regulation No. 141, required capital adequacy levels of Alfa-Bank were revised in view of the reorganization and merger with Ukrsotsbank. Hence, required CAR of Alfa-Bank as the successor bank was 18.0%, core capital  ratio – 18.0%. After measures taken, the required levels are: CAR – 14.8%, core capital ratio – 14.8%. </v>
      </c>
      <c r="D44" s="34"/>
      <c r="E44" s="110"/>
      <c r="F44" s="34"/>
      <c r="G44" s="34"/>
      <c r="H44" s="34"/>
    </row>
    <row r="45" spans="1:57" x14ac:dyDescent="0.25">
      <c r="A45" s="101" t="s">
        <v>126</v>
      </c>
      <c r="D45" s="34"/>
      <c r="E45" s="110"/>
      <c r="F45" s="34"/>
      <c r="G45" s="34"/>
      <c r="H45" s="34"/>
    </row>
    <row r="46" spans="1:57" x14ac:dyDescent="0.25">
      <c r="A46" s="101" t="s">
        <v>124</v>
      </c>
      <c r="D46" s="34"/>
      <c r="E46" s="110"/>
      <c r="F46" s="34"/>
      <c r="G46" s="34"/>
      <c r="H46" s="34"/>
    </row>
    <row r="47" spans="1:57" x14ac:dyDescent="0.25">
      <c r="D47" s="34"/>
      <c r="E47" s="110"/>
      <c r="F47" s="34"/>
      <c r="G47" s="34"/>
      <c r="H47" s="34"/>
    </row>
    <row r="48" spans="1:57" x14ac:dyDescent="0.25">
      <c r="E48" s="110"/>
      <c r="F48" s="34"/>
      <c r="G48" s="34"/>
    </row>
    <row r="49" spans="5:7" x14ac:dyDescent="0.25">
      <c r="E49" s="110"/>
      <c r="F49" s="34"/>
      <c r="G49" s="34"/>
    </row>
    <row r="50" spans="5:7" x14ac:dyDescent="0.25">
      <c r="E50" s="110"/>
      <c r="F50" s="34"/>
      <c r="G50" s="34"/>
    </row>
    <row r="51" spans="5:7" x14ac:dyDescent="0.25">
      <c r="E51" s="110"/>
      <c r="F51" s="34"/>
      <c r="G51" s="34"/>
    </row>
    <row r="52" spans="5:7" x14ac:dyDescent="0.25">
      <c r="E52" s="110"/>
      <c r="F52" s="34"/>
      <c r="G52" s="34"/>
    </row>
    <row r="53" spans="5:7" x14ac:dyDescent="0.25">
      <c r="E53" s="110"/>
      <c r="F53" s="34"/>
      <c r="G53" s="34"/>
    </row>
    <row r="54" spans="5:7" x14ac:dyDescent="0.25">
      <c r="E54" s="110"/>
      <c r="F54" s="34"/>
      <c r="G54" s="34"/>
    </row>
    <row r="55" spans="5:7" x14ac:dyDescent="0.25">
      <c r="E55" s="110"/>
      <c r="F55" s="34"/>
      <c r="G55" s="34"/>
    </row>
    <row r="56" spans="5:7" x14ac:dyDescent="0.25">
      <c r="E56" s="34"/>
      <c r="F56" s="34"/>
      <c r="G56" s="34"/>
    </row>
    <row r="57" spans="5:7" x14ac:dyDescent="0.25">
      <c r="E57" s="34"/>
      <c r="F57" s="34"/>
      <c r="G57" s="34"/>
    </row>
    <row r="58" spans="5:7" x14ac:dyDescent="0.25">
      <c r="E58" s="34"/>
      <c r="F58" s="34"/>
      <c r="G58" s="34"/>
    </row>
    <row r="59" spans="5:7" x14ac:dyDescent="0.25">
      <c r="E59" s="34"/>
      <c r="F59" s="34"/>
      <c r="G59" s="34"/>
    </row>
  </sheetData>
  <sheetProtection password="E2D0" sheet="1" objects="1" scenarios="1"/>
  <mergeCells count="49">
    <mergeCell ref="BD4:BE6"/>
    <mergeCell ref="AT4:AX5"/>
    <mergeCell ref="AT7:AT8"/>
    <mergeCell ref="AW7:AW8"/>
    <mergeCell ref="AV7:AV8"/>
    <mergeCell ref="AU7:AU8"/>
    <mergeCell ref="AX7:AX8"/>
    <mergeCell ref="AT6:AU6"/>
    <mergeCell ref="AV6:AX6"/>
    <mergeCell ref="AY4:BC5"/>
    <mergeCell ref="BD7:BD8"/>
    <mergeCell ref="BE7:BE8"/>
    <mergeCell ref="AZ7:AZ8"/>
    <mergeCell ref="BC7:BC8"/>
    <mergeCell ref="AY6:AZ6"/>
    <mergeCell ref="BA6:BC6"/>
    <mergeCell ref="A4:A8"/>
    <mergeCell ref="B4:B8"/>
    <mergeCell ref="C4:C8"/>
    <mergeCell ref="AY7:AY8"/>
    <mergeCell ref="P8:R8"/>
    <mergeCell ref="P6:R6"/>
    <mergeCell ref="S6:U6"/>
    <mergeCell ref="V6:X6"/>
    <mergeCell ref="Y6:AA6"/>
    <mergeCell ref="S8:U8"/>
    <mergeCell ref="V8:X8"/>
    <mergeCell ref="Y8:AA8"/>
    <mergeCell ref="AE8:AG8"/>
    <mergeCell ref="AB8:AD8"/>
    <mergeCell ref="AQ8:AS8"/>
    <mergeCell ref="D4:D8"/>
    <mergeCell ref="E4:I5"/>
    <mergeCell ref="J4:O5"/>
    <mergeCell ref="E7:I8"/>
    <mergeCell ref="J7:O8"/>
    <mergeCell ref="P4:AD5"/>
    <mergeCell ref="AQ6:AS6"/>
    <mergeCell ref="AN6:AP6"/>
    <mergeCell ref="AE4:AS5"/>
    <mergeCell ref="AB6:AD6"/>
    <mergeCell ref="AE6:AG6"/>
    <mergeCell ref="AK6:AM6"/>
    <mergeCell ref="AH6:AJ6"/>
    <mergeCell ref="BA7:BA8"/>
    <mergeCell ref="BB7:BB8"/>
    <mergeCell ref="AH8:AJ8"/>
    <mergeCell ref="AK8:AM8"/>
    <mergeCell ref="AN8:AP8"/>
  </mergeCells>
  <pageMargins left="0.7" right="0.7" top="0.75" bottom="0.75" header="0.3" footer="0.3"/>
  <pageSetup paperSize="9" orientation="portrait" r:id="rId1"/>
  <ignoredErrors>
    <ignoredError sqref="D11:D38 K39 AW36:AX36 BA36:BB3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8</xdr:col>
                    <xdr:colOff>1485900</xdr:colOff>
                    <xdr:row>0</xdr:row>
                    <xdr:rowOff>0</xdr:rowOff>
                  </from>
                  <to>
                    <xdr:col>10</xdr:col>
                    <xdr:colOff>106680</xdr:colOff>
                    <xdr:row>1</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46"/>
  <sheetViews>
    <sheetView zoomScale="70" zoomScaleNormal="70" workbookViewId="0">
      <pane xSplit="3" ySplit="9" topLeftCell="D10" activePane="bottomRight" state="frozen"/>
      <selection pane="topRight" activeCell="D1" sqref="D1"/>
      <selection pane="bottomLeft" activeCell="A14" sqref="A14"/>
      <selection pane="bottomRight" activeCell="G15" sqref="G15"/>
    </sheetView>
  </sheetViews>
  <sheetFormatPr defaultColWidth="8.88671875" defaultRowHeight="13.2" x14ac:dyDescent="0.25"/>
  <cols>
    <col min="1" max="1" width="5.5546875" style="29" customWidth="1"/>
    <col min="2" max="2" width="6.5546875" style="29" customWidth="1"/>
    <col min="3" max="4" width="32.5546875" style="29" customWidth="1"/>
    <col min="5" max="5" width="12.6640625" style="29" customWidth="1"/>
    <col min="6" max="6" width="13.88671875" style="29" customWidth="1"/>
    <col min="7" max="7" width="10.44140625" style="29" customWidth="1"/>
    <col min="8" max="8" width="9" style="29" customWidth="1"/>
    <col min="9" max="9" width="19.33203125" style="29" hidden="1" customWidth="1"/>
    <col min="10" max="10" width="14.5546875" style="29" customWidth="1"/>
    <col min="11" max="12" width="11.33203125" style="29" bestFit="1" customWidth="1"/>
    <col min="13" max="13" width="10.33203125" style="29" customWidth="1"/>
    <col min="14" max="14" width="9" style="29" bestFit="1" customWidth="1"/>
    <col min="15" max="15" width="19.5546875" style="29" hidden="1" customWidth="1"/>
    <col min="16" max="21" width="11.33203125" style="29" bestFit="1" customWidth="1"/>
    <col min="22" max="27" width="9" style="29" bestFit="1" customWidth="1"/>
    <col min="28" max="30" width="9" style="29" hidden="1" customWidth="1"/>
    <col min="31" max="31" width="10.6640625" style="29" bestFit="1" customWidth="1"/>
    <col min="32" max="33" width="11.33203125" style="29" bestFit="1" customWidth="1"/>
    <col min="34" max="34" width="10.6640625" style="29" bestFit="1" customWidth="1"/>
    <col min="35" max="36" width="11.33203125" style="29" bestFit="1" customWidth="1"/>
    <col min="37" max="37" width="9" style="29" bestFit="1" customWidth="1"/>
    <col min="38" max="39" width="9.6640625" style="29" bestFit="1" customWidth="1"/>
    <col min="40" max="40" width="9" style="29" bestFit="1" customWidth="1"/>
    <col min="41" max="42" width="9.6640625" style="29" bestFit="1" customWidth="1"/>
    <col min="43" max="45" width="9.6640625" style="29" hidden="1" customWidth="1"/>
    <col min="46" max="46" width="10" style="29" customWidth="1"/>
    <col min="47" max="47" width="15.33203125" style="29" customWidth="1"/>
    <col min="48" max="48" width="19.33203125" style="29" customWidth="1"/>
    <col min="49" max="49" width="16.6640625" style="29" customWidth="1"/>
    <col min="50" max="50" width="21.44140625" style="29" customWidth="1"/>
    <col min="51" max="16384" width="8.88671875" style="29"/>
  </cols>
  <sheetData>
    <row r="1" spans="1:50" x14ac:dyDescent="0.25">
      <c r="J1" s="93" t="str">
        <f>'Individual banks'!K1</f>
        <v>ENG</v>
      </c>
      <c r="K1" s="99" t="s">
        <v>123</v>
      </c>
    </row>
    <row r="2" spans="1:50" ht="14.4" customHeight="1" x14ac:dyDescent="0.25">
      <c r="B2" s="82" t="str">
        <f>IF($J$1="ENG","Results of the diagnostic study of banks and Ukrainian banking system","Результати оцінки стійкості банків та банківської системи України")</f>
        <v>Results of the diagnostic study of banks and Ukrainian banking system</v>
      </c>
      <c r="C2" s="81"/>
      <c r="D2" s="64"/>
    </row>
    <row r="3" spans="1:50" x14ac:dyDescent="0.25">
      <c r="C3" s="68"/>
      <c r="D3" s="68"/>
    </row>
    <row r="4" spans="1:50" ht="36" customHeight="1" x14ac:dyDescent="0.25">
      <c r="A4" s="210" t="str">
        <f>IF($J$1="ENG","#","Н з/п")</f>
        <v>#</v>
      </c>
      <c r="B4" s="210" t="str">
        <f>IF($J$1="ENG","NKB","НКБ")</f>
        <v>NKB</v>
      </c>
      <c r="C4" s="210" t="str">
        <f>IF($J$1="ENG","Name","Назва")</f>
        <v>Name</v>
      </c>
      <c r="D4" s="210" t="str">
        <f>IF($J$1="ENG","Group","Група")</f>
        <v>Group</v>
      </c>
      <c r="E4" s="204" t="str">
        <f>IF($J$1="ENG","Bank's data","Дані банку")</f>
        <v>Bank's data</v>
      </c>
      <c r="F4" s="205"/>
      <c r="G4" s="205"/>
      <c r="H4" s="205"/>
      <c r="I4" s="208"/>
      <c r="J4" s="204" t="str">
        <f>IF($J$1="ENG","Asset quality review","Дані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Asset quality review</v>
      </c>
      <c r="K4" s="205"/>
      <c r="L4" s="205"/>
      <c r="M4" s="205"/>
      <c r="N4" s="205"/>
      <c r="O4" s="208"/>
      <c r="P4" s="204" t="str">
        <f>IF($J$1="ENG","Baseline scenario","За базовим макроекономічним сценарієм")</f>
        <v>Baseline scenario</v>
      </c>
      <c r="Q4" s="205"/>
      <c r="R4" s="205"/>
      <c r="S4" s="205"/>
      <c r="T4" s="205"/>
      <c r="U4" s="205"/>
      <c r="V4" s="205"/>
      <c r="W4" s="205"/>
      <c r="X4" s="205"/>
      <c r="Y4" s="205"/>
      <c r="Z4" s="205"/>
      <c r="AA4" s="205"/>
      <c r="AB4" s="205"/>
      <c r="AC4" s="205"/>
      <c r="AD4" s="208"/>
      <c r="AE4" s="204" t="str">
        <f>IF($J$1="ENG","Adverse scenario","За несприятливим макроекономічним сценарієм")</f>
        <v>Adverse scenario</v>
      </c>
      <c r="AF4" s="205"/>
      <c r="AG4" s="205"/>
      <c r="AH4" s="205"/>
      <c r="AI4" s="205"/>
      <c r="AJ4" s="205"/>
      <c r="AK4" s="205"/>
      <c r="AL4" s="205"/>
      <c r="AM4" s="205"/>
      <c r="AN4" s="205"/>
      <c r="AO4" s="205"/>
      <c r="AP4" s="205"/>
      <c r="AQ4" s="205"/>
      <c r="AR4" s="205"/>
      <c r="AS4" s="208"/>
      <c r="AT4" s="219" t="str">
        <f>IF($J$1="ENG","Capital need","Сума потреби (нестачі) у капіталі за результатами оцінки стійкості банку в поточному році")</f>
        <v>Capital need</v>
      </c>
      <c r="AU4" s="219"/>
      <c r="AV4" s="219"/>
      <c r="AW4" s="219"/>
      <c r="AX4" s="219"/>
    </row>
    <row r="5" spans="1:50" ht="36" customHeight="1" x14ac:dyDescent="0.25">
      <c r="A5" s="210"/>
      <c r="B5" s="210"/>
      <c r="C5" s="210"/>
      <c r="D5" s="210"/>
      <c r="E5" s="206"/>
      <c r="F5" s="207"/>
      <c r="G5" s="207"/>
      <c r="H5" s="207"/>
      <c r="I5" s="209"/>
      <c r="J5" s="206"/>
      <c r="K5" s="207"/>
      <c r="L5" s="207"/>
      <c r="M5" s="207"/>
      <c r="N5" s="207"/>
      <c r="O5" s="209"/>
      <c r="P5" s="206"/>
      <c r="Q5" s="207"/>
      <c r="R5" s="207"/>
      <c r="S5" s="207"/>
      <c r="T5" s="207"/>
      <c r="U5" s="207"/>
      <c r="V5" s="207"/>
      <c r="W5" s="207"/>
      <c r="X5" s="207"/>
      <c r="Y5" s="207"/>
      <c r="Z5" s="207"/>
      <c r="AA5" s="207"/>
      <c r="AB5" s="207"/>
      <c r="AC5" s="207"/>
      <c r="AD5" s="209"/>
      <c r="AE5" s="206"/>
      <c r="AF5" s="207"/>
      <c r="AG5" s="207"/>
      <c r="AH5" s="207"/>
      <c r="AI5" s="207"/>
      <c r="AJ5" s="207"/>
      <c r="AK5" s="207"/>
      <c r="AL5" s="207"/>
      <c r="AM5" s="207"/>
      <c r="AN5" s="207"/>
      <c r="AO5" s="207"/>
      <c r="AP5" s="207"/>
      <c r="AQ5" s="207"/>
      <c r="AR5" s="207"/>
      <c r="AS5" s="209"/>
      <c r="AT5" s="196" t="str">
        <f>IF($J$1="ENG","Total, UAH mln","Усього, млн грн")</f>
        <v>Total, UAH mln</v>
      </c>
      <c r="AU5" s="219" t="str">
        <f>IF($J$1="ENG","To cover with:","Покриття потреби (нестачі) у капіталі шляхом виконання:")</f>
        <v>To cover with:</v>
      </c>
      <c r="AV5" s="219"/>
      <c r="AW5" s="219"/>
      <c r="AX5" s="219"/>
    </row>
    <row r="6" spans="1:50" ht="40.950000000000003" customHeight="1" x14ac:dyDescent="0.25">
      <c r="A6" s="210"/>
      <c r="B6" s="210"/>
      <c r="C6" s="210"/>
      <c r="D6" s="210"/>
      <c r="E6" s="107" t="str">
        <f>IF($J$1="ENG","Core capital, UAH mln","ОК, млн грн")</f>
        <v>Core capital, UAH mln</v>
      </c>
      <c r="F6" s="107" t="str">
        <f>IF($J$1="ENG","Regulatory capital, UAH mln","РК, млн грн")</f>
        <v>Regulatory capital, UAH mln</v>
      </c>
      <c r="G6" s="107" t="str">
        <f>IF($J$1="ENG","CAR","Н2")</f>
        <v>CAR</v>
      </c>
      <c r="H6" s="107" t="str">
        <f>IF($J$1="ENG","Core capital ratio","Н3")</f>
        <v>Core capital ratio</v>
      </c>
      <c r="I6" s="74" t="s">
        <v>120</v>
      </c>
      <c r="J6" s="107" t="str">
        <f>IF($J$1="ENG","extrapolation","екстраполяція")</f>
        <v>extrapolation</v>
      </c>
      <c r="K6" s="107" t="str">
        <f>E6</f>
        <v>Core capital, UAH mln</v>
      </c>
      <c r="L6" s="107" t="str">
        <f t="shared" ref="L6:N6" si="0">F6</f>
        <v>Regulatory capital, UAH mln</v>
      </c>
      <c r="M6" s="107" t="str">
        <f t="shared" si="0"/>
        <v>CAR</v>
      </c>
      <c r="N6" s="107" t="str">
        <f t="shared" si="0"/>
        <v>Core capital ratio</v>
      </c>
      <c r="O6" s="74" t="s">
        <v>120</v>
      </c>
      <c r="P6" s="201" t="str">
        <f>E6</f>
        <v>Core capital, UAH mln</v>
      </c>
      <c r="Q6" s="202"/>
      <c r="R6" s="203"/>
      <c r="S6" s="201" t="str">
        <f>F6</f>
        <v>Regulatory capital, UAH mln</v>
      </c>
      <c r="T6" s="202"/>
      <c r="U6" s="203"/>
      <c r="V6" s="201" t="str">
        <f>M6</f>
        <v>CAR</v>
      </c>
      <c r="W6" s="202"/>
      <c r="X6" s="203"/>
      <c r="Y6" s="201" t="str">
        <f>H6</f>
        <v>Core capital ratio</v>
      </c>
      <c r="Z6" s="202"/>
      <c r="AA6" s="203"/>
      <c r="AB6" s="198" t="s">
        <v>120</v>
      </c>
      <c r="AC6" s="199"/>
      <c r="AD6" s="200"/>
      <c r="AE6" s="201" t="str">
        <f>P6</f>
        <v>Core capital, UAH mln</v>
      </c>
      <c r="AF6" s="202"/>
      <c r="AG6" s="203"/>
      <c r="AH6" s="201" t="str">
        <f>S6</f>
        <v>Regulatory capital, UAH mln</v>
      </c>
      <c r="AI6" s="202"/>
      <c r="AJ6" s="203"/>
      <c r="AK6" s="201" t="str">
        <f>V6</f>
        <v>CAR</v>
      </c>
      <c r="AL6" s="202"/>
      <c r="AM6" s="203"/>
      <c r="AN6" s="201" t="str">
        <f>Y6</f>
        <v>Core capital ratio</v>
      </c>
      <c r="AO6" s="202"/>
      <c r="AP6" s="203"/>
      <c r="AQ6" s="198" t="s">
        <v>120</v>
      </c>
      <c r="AR6" s="199"/>
      <c r="AS6" s="200"/>
      <c r="AT6" s="196"/>
      <c r="AU6" s="219" t="str">
        <f>IF($J$1="ENG","capitalization program till 01.04.2019","програми капіталізації до 01 квітня 2019 року")</f>
        <v>capitalization program till 01.04.2019</v>
      </c>
      <c r="AV6" s="219"/>
      <c r="AW6" s="219" t="str">
        <f>IF($J$1="ENG","restructuring plan till 31.12.2019","плану реструктуризації до 31 грудня 2019 року")</f>
        <v>restructuring plan till 31.12.2019</v>
      </c>
      <c r="AX6" s="219"/>
    </row>
    <row r="7" spans="1:50" ht="18" customHeight="1" x14ac:dyDescent="0.25">
      <c r="A7" s="210"/>
      <c r="B7" s="210"/>
      <c r="C7" s="210"/>
      <c r="D7" s="210"/>
      <c r="E7" s="204" t="str">
        <f>IF($J$1="ENG","reporting date 01.01.2018","звітний рік (на 01.01.2018)")</f>
        <v>reporting date 01.01.2018</v>
      </c>
      <c r="F7" s="205"/>
      <c r="G7" s="205"/>
      <c r="H7" s="205"/>
      <c r="I7" s="208"/>
      <c r="J7" s="204" t="str">
        <f>IF($J$1="ENG","reporting date 01.01.2018","звітний рік (на 01.01.2018)")</f>
        <v>reporting date 01.01.2018</v>
      </c>
      <c r="K7" s="205"/>
      <c r="L7" s="205"/>
      <c r="M7" s="205"/>
      <c r="N7" s="205"/>
      <c r="O7" s="208"/>
      <c r="P7" s="107" t="str">
        <f>IF($J$1="ENG","1st","1-й")</f>
        <v>1st</v>
      </c>
      <c r="Q7" s="107" t="str">
        <f>IF($J$1="ENG","2nd","2-й")</f>
        <v>2nd</v>
      </c>
      <c r="R7" s="107" t="str">
        <f>IF($J$1="ENG","3rd","3-й")</f>
        <v>3rd</v>
      </c>
      <c r="S7" s="107" t="str">
        <f>IF($J$1="ENG","1st","1-й")</f>
        <v>1st</v>
      </c>
      <c r="T7" s="107" t="str">
        <f>IF($J$1="ENG","2nd","2-й")</f>
        <v>2nd</v>
      </c>
      <c r="U7" s="107" t="str">
        <f>IF($J$1="ENG","3rd","3-й")</f>
        <v>3rd</v>
      </c>
      <c r="V7" s="107" t="str">
        <f>IF($J$1="ENG","1st","1-й")</f>
        <v>1st</v>
      </c>
      <c r="W7" s="107" t="str">
        <f>IF($J$1="ENG","2nd","2-й")</f>
        <v>2nd</v>
      </c>
      <c r="X7" s="107" t="str">
        <f>IF($J$1="ENG","3rd","3-й")</f>
        <v>3rd</v>
      </c>
      <c r="Y7" s="107" t="str">
        <f>IF($J$1="ENG","1st","1-й")</f>
        <v>1st</v>
      </c>
      <c r="Z7" s="107" t="str">
        <f>IF($J$1="ENG","2nd","2-й")</f>
        <v>2nd</v>
      </c>
      <c r="AA7" s="107" t="str">
        <f>IF($J$1="ENG","3rd","3-й")</f>
        <v>3rd</v>
      </c>
      <c r="AB7" s="107" t="s">
        <v>58</v>
      </c>
      <c r="AC7" s="107" t="s">
        <v>59</v>
      </c>
      <c r="AD7" s="107" t="s">
        <v>60</v>
      </c>
      <c r="AE7" s="107" t="str">
        <f>IF($J$1="ENG","1st","1-й")</f>
        <v>1st</v>
      </c>
      <c r="AF7" s="107" t="str">
        <f>IF($J$1="ENG","2nd","2-й")</f>
        <v>2nd</v>
      </c>
      <c r="AG7" s="107" t="str">
        <f>IF($J$1="ENG","3rd","3-й")</f>
        <v>3rd</v>
      </c>
      <c r="AH7" s="107" t="str">
        <f>IF($J$1="ENG","1st","1-й")</f>
        <v>1st</v>
      </c>
      <c r="AI7" s="107" t="str">
        <f>IF($J$1="ENG","2nd","2-й")</f>
        <v>2nd</v>
      </c>
      <c r="AJ7" s="107" t="str">
        <f>IF($J$1="ENG","3rd","3-й")</f>
        <v>3rd</v>
      </c>
      <c r="AK7" s="107" t="str">
        <f>IF($J$1="ENG","1st","1-й")</f>
        <v>1st</v>
      </c>
      <c r="AL7" s="107" t="str">
        <f>IF($J$1="ENG","2nd","2-й")</f>
        <v>2nd</v>
      </c>
      <c r="AM7" s="107" t="str">
        <f>IF($J$1="ENG","3rd","3-й")</f>
        <v>3rd</v>
      </c>
      <c r="AN7" s="107" t="str">
        <f>IF($J$1="ENG","1st","1-й")</f>
        <v>1st</v>
      </c>
      <c r="AO7" s="107" t="str">
        <f>IF($J$1="ENG","2nd","2-й")</f>
        <v>2nd</v>
      </c>
      <c r="AP7" s="107" t="str">
        <f>IF($J$1="ENG","3rd","3-й")</f>
        <v>3rd</v>
      </c>
      <c r="AQ7" s="107" t="s">
        <v>58</v>
      </c>
      <c r="AR7" s="107" t="s">
        <v>59</v>
      </c>
      <c r="AS7" s="107" t="s">
        <v>60</v>
      </c>
      <c r="AT7" s="196"/>
      <c r="AU7" s="220" t="str">
        <f>IF($J$1="ENG","total, UAH mln","усього, млн грн")</f>
        <v>total, UAH mln</v>
      </c>
      <c r="AV7" s="219" t="str">
        <f>IF($J$1="ENG","after measures taken by bank, UAH mln","з урахуванням здійснених банком заходів, млн грн")</f>
        <v>after measures taken by bank, UAH mln</v>
      </c>
      <c r="AW7" s="220" t="str">
        <f>IF($J$1="ENG","total, UAH mln","усього, млн грн")</f>
        <v>total, UAH mln</v>
      </c>
      <c r="AX7" s="219" t="str">
        <f>IF($J$1="ENG","after measures taken by bank, UAH mln","з урахуванням здійснених банком заходів, млн грн")</f>
        <v>after measures taken by bank, UAH mln</v>
      </c>
    </row>
    <row r="8" spans="1:50" ht="18.600000000000001" customHeight="1" x14ac:dyDescent="0.25">
      <c r="A8" s="210"/>
      <c r="B8" s="210"/>
      <c r="C8" s="210"/>
      <c r="D8" s="210"/>
      <c r="E8" s="206"/>
      <c r="F8" s="207"/>
      <c r="G8" s="207"/>
      <c r="H8" s="207"/>
      <c r="I8" s="209"/>
      <c r="J8" s="206"/>
      <c r="K8" s="207"/>
      <c r="L8" s="207"/>
      <c r="M8" s="207"/>
      <c r="N8" s="207"/>
      <c r="O8" s="209"/>
      <c r="P8" s="197" t="str">
        <f>IF($J$1="ENG","forecast year","прогнозний рік")</f>
        <v>forecast year</v>
      </c>
      <c r="Q8" s="197"/>
      <c r="R8" s="197"/>
      <c r="S8" s="197" t="str">
        <f>IF($J$1="ENG","forecast year","прогнозний рік")</f>
        <v>forecast year</v>
      </c>
      <c r="T8" s="197"/>
      <c r="U8" s="197"/>
      <c r="V8" s="197" t="str">
        <f>IF($J$1="ENG","forecast year","прогнозний рік")</f>
        <v>forecast year</v>
      </c>
      <c r="W8" s="197"/>
      <c r="X8" s="197"/>
      <c r="Y8" s="197" t="str">
        <f>IF($J$1="ENG","forecast year","прогнозний рік")</f>
        <v>forecast year</v>
      </c>
      <c r="Z8" s="197"/>
      <c r="AA8" s="197"/>
      <c r="AB8" s="197" t="s">
        <v>61</v>
      </c>
      <c r="AC8" s="197"/>
      <c r="AD8" s="197"/>
      <c r="AE8" s="197" t="str">
        <f>IF($J$1="ENG","forecast year","прогнозний рік")</f>
        <v>forecast year</v>
      </c>
      <c r="AF8" s="197"/>
      <c r="AG8" s="197"/>
      <c r="AH8" s="197" t="str">
        <f>IF($J$1="ENG","forecast year","прогнозний рік")</f>
        <v>forecast year</v>
      </c>
      <c r="AI8" s="197"/>
      <c r="AJ8" s="197"/>
      <c r="AK8" s="197" t="str">
        <f>IF($J$1="ENG","forecast year","прогнозний рік")</f>
        <v>forecast year</v>
      </c>
      <c r="AL8" s="197"/>
      <c r="AM8" s="197"/>
      <c r="AN8" s="197" t="str">
        <f>IF($J$1="ENG","forecast year","прогнозний рік")</f>
        <v>forecast year</v>
      </c>
      <c r="AO8" s="197"/>
      <c r="AP8" s="197"/>
      <c r="AQ8" s="197" t="s">
        <v>61</v>
      </c>
      <c r="AR8" s="197"/>
      <c r="AS8" s="197"/>
      <c r="AT8" s="196"/>
      <c r="AU8" s="221"/>
      <c r="AV8" s="219"/>
      <c r="AW8" s="221"/>
      <c r="AX8" s="219"/>
    </row>
    <row r="9" spans="1:50" x14ac:dyDescent="0.25">
      <c r="A9" s="108">
        <v>1</v>
      </c>
      <c r="B9" s="108">
        <v>2</v>
      </c>
      <c r="C9" s="108">
        <v>3</v>
      </c>
      <c r="D9" s="108">
        <v>4</v>
      </c>
      <c r="E9" s="108">
        <v>5</v>
      </c>
      <c r="F9" s="108">
        <v>6</v>
      </c>
      <c r="G9" s="108">
        <v>7</v>
      </c>
      <c r="H9" s="108">
        <v>8</v>
      </c>
      <c r="I9" s="108">
        <v>9</v>
      </c>
      <c r="J9" s="108">
        <v>10</v>
      </c>
      <c r="K9" s="108">
        <v>11</v>
      </c>
      <c r="L9" s="108">
        <v>12</v>
      </c>
      <c r="M9" s="108">
        <v>13</v>
      </c>
      <c r="N9" s="108">
        <v>14</v>
      </c>
      <c r="O9" s="108">
        <v>15</v>
      </c>
      <c r="P9" s="108">
        <v>16</v>
      </c>
      <c r="Q9" s="108">
        <v>17</v>
      </c>
      <c r="R9" s="108">
        <v>18</v>
      </c>
      <c r="S9" s="108">
        <v>19</v>
      </c>
      <c r="T9" s="108">
        <v>20</v>
      </c>
      <c r="U9" s="108">
        <v>21</v>
      </c>
      <c r="V9" s="108">
        <v>22</v>
      </c>
      <c r="W9" s="108">
        <v>23</v>
      </c>
      <c r="X9" s="108">
        <v>24</v>
      </c>
      <c r="Y9" s="108">
        <v>25</v>
      </c>
      <c r="Z9" s="108">
        <v>26</v>
      </c>
      <c r="AA9" s="108">
        <v>27</v>
      </c>
      <c r="AB9" s="108">
        <v>28</v>
      </c>
      <c r="AC9" s="108">
        <v>29</v>
      </c>
      <c r="AD9" s="108">
        <v>30</v>
      </c>
      <c r="AE9" s="108">
        <v>31</v>
      </c>
      <c r="AF9" s="108">
        <v>32</v>
      </c>
      <c r="AG9" s="108">
        <v>33</v>
      </c>
      <c r="AH9" s="108">
        <v>34</v>
      </c>
      <c r="AI9" s="108">
        <v>35</v>
      </c>
      <c r="AJ9" s="108">
        <v>36</v>
      </c>
      <c r="AK9" s="108">
        <v>37</v>
      </c>
      <c r="AL9" s="108">
        <v>38</v>
      </c>
      <c r="AM9" s="108">
        <v>39</v>
      </c>
      <c r="AN9" s="108">
        <v>40</v>
      </c>
      <c r="AO9" s="108">
        <v>41</v>
      </c>
      <c r="AP9" s="108">
        <v>42</v>
      </c>
      <c r="AQ9" s="108">
        <v>43</v>
      </c>
      <c r="AR9" s="108">
        <v>44</v>
      </c>
      <c r="AS9" s="108">
        <v>45</v>
      </c>
      <c r="AT9" s="108">
        <v>46</v>
      </c>
      <c r="AU9" s="108">
        <v>47</v>
      </c>
      <c r="AV9" s="108">
        <v>48</v>
      </c>
      <c r="AW9" s="108">
        <v>49</v>
      </c>
      <c r="AX9" s="108">
        <v>50</v>
      </c>
    </row>
    <row r="10" spans="1:50" x14ac:dyDescent="0.25">
      <c r="A10" s="31">
        <v>1</v>
      </c>
      <c r="B10" s="70">
        <v>96</v>
      </c>
      <c r="C10" s="70" t="str">
        <f>IF($J$1="ENG","A-Bank","А-Банк")</f>
        <v>A-Bank</v>
      </c>
      <c r="D10" s="31" t="str">
        <f>IF($J$1="ENG","Private banks","Банки з приватним капіталом")</f>
        <v>Private banks</v>
      </c>
      <c r="E10" s="32">
        <v>356.16699999999997</v>
      </c>
      <c r="F10" s="32">
        <v>453.94</v>
      </c>
      <c r="G10" s="65">
        <v>0.13569999999999999</v>
      </c>
      <c r="H10" s="65">
        <v>0.1065</v>
      </c>
      <c r="I10" s="32">
        <f t="shared" ref="I10:I33" si="1">E10/H10</f>
        <v>3344.2910798122066</v>
      </c>
      <c r="J10" s="108" t="str">
        <f t="shared" ref="J10:J33" si="2">IF($J$1="ENG","no","ні")</f>
        <v>no</v>
      </c>
      <c r="K10" s="32">
        <v>307.71199999999999</v>
      </c>
      <c r="L10" s="32">
        <v>349.04899999999998</v>
      </c>
      <c r="M10" s="65">
        <v>0.1033</v>
      </c>
      <c r="N10" s="65">
        <v>9.11E-2</v>
      </c>
      <c r="O10" s="32">
        <f t="shared" ref="O10:O33" si="3">K10/N10</f>
        <v>3377.7387486278813</v>
      </c>
      <c r="P10" s="32">
        <v>1045.701</v>
      </c>
      <c r="Q10" s="32">
        <v>1672.575</v>
      </c>
      <c r="R10" s="32">
        <v>2295.0450000000001</v>
      </c>
      <c r="S10" s="32">
        <v>1047.452</v>
      </c>
      <c r="T10" s="32">
        <v>1674.326</v>
      </c>
      <c r="U10" s="32">
        <v>2296.7959999999998</v>
      </c>
      <c r="V10" s="65">
        <v>0.27939999999999998</v>
      </c>
      <c r="W10" s="65">
        <v>0.44209999999999999</v>
      </c>
      <c r="X10" s="65">
        <v>0.60719999999999996</v>
      </c>
      <c r="Y10" s="65">
        <v>0.27889999999999998</v>
      </c>
      <c r="Z10" s="65">
        <v>0.44169999999999998</v>
      </c>
      <c r="AA10" s="65">
        <v>0.60680000000000001</v>
      </c>
      <c r="AB10" s="32">
        <f t="shared" ref="AB10:AD33" si="4">P10/Y10</f>
        <v>3749.3761204732882</v>
      </c>
      <c r="AC10" s="32">
        <f t="shared" si="4"/>
        <v>3786.6764772470005</v>
      </c>
      <c r="AD10" s="32">
        <f t="shared" si="4"/>
        <v>3782.2099538562952</v>
      </c>
      <c r="AE10" s="32">
        <v>733.91899999999998</v>
      </c>
      <c r="AF10" s="32">
        <v>1096.8150000000001</v>
      </c>
      <c r="AG10" s="32">
        <v>1656.768</v>
      </c>
      <c r="AH10" s="32">
        <v>735.69100000000003</v>
      </c>
      <c r="AI10" s="32">
        <v>1098.587</v>
      </c>
      <c r="AJ10" s="32">
        <v>1658.54</v>
      </c>
      <c r="AK10" s="65">
        <v>0.20530000000000001</v>
      </c>
      <c r="AL10" s="65">
        <v>0.30890000000000001</v>
      </c>
      <c r="AM10" s="65">
        <v>0.44929999999999998</v>
      </c>
      <c r="AN10" s="65">
        <v>0.20480000000000001</v>
      </c>
      <c r="AO10" s="65">
        <v>0.30840000000000001</v>
      </c>
      <c r="AP10" s="65">
        <v>0.44890000000000002</v>
      </c>
      <c r="AQ10" s="32">
        <f t="shared" ref="AQ10:AS33" si="5">AE10/AN10</f>
        <v>3583.5888671874995</v>
      </c>
      <c r="AR10" s="32">
        <f t="shared" si="5"/>
        <v>3556.4688715953307</v>
      </c>
      <c r="AS10" s="32">
        <f t="shared" si="5"/>
        <v>3690.7284473156606</v>
      </c>
      <c r="AT10" s="32">
        <v>0</v>
      </c>
      <c r="AU10" s="32">
        <v>0</v>
      </c>
      <c r="AV10" s="66">
        <v>0</v>
      </c>
      <c r="AW10" s="32">
        <v>0</v>
      </c>
      <c r="AX10" s="31">
        <v>0</v>
      </c>
    </row>
    <row r="11" spans="1:50" x14ac:dyDescent="0.25">
      <c r="A11" s="31">
        <v>2</v>
      </c>
      <c r="B11" s="70">
        <v>272</v>
      </c>
      <c r="C11" s="70" t="str">
        <f>IF($J$1="ENG","Alfa-Bank","Альфа-Банк")</f>
        <v>Alfa-Bank</v>
      </c>
      <c r="D11" s="31" t="str">
        <f>IF($J$1="ENG","Foreign banks","Банки іноземних банківських груп")</f>
        <v>Foreign banks</v>
      </c>
      <c r="E11" s="32">
        <v>2724.54</v>
      </c>
      <c r="F11" s="32">
        <v>4269.076</v>
      </c>
      <c r="G11" s="65">
        <v>0.1055</v>
      </c>
      <c r="H11" s="65">
        <v>6.7299999999999999E-2</v>
      </c>
      <c r="I11" s="32">
        <f t="shared" si="1"/>
        <v>40483.506686478453</v>
      </c>
      <c r="J11" s="108" t="str">
        <f t="shared" si="2"/>
        <v>no</v>
      </c>
      <c r="K11" s="32">
        <v>2438.9859999999999</v>
      </c>
      <c r="L11" s="32">
        <v>3935.027</v>
      </c>
      <c r="M11" s="65">
        <v>9.7500000000000003E-2</v>
      </c>
      <c r="N11" s="65">
        <v>6.0400000000000002E-2</v>
      </c>
      <c r="O11" s="32">
        <f t="shared" si="3"/>
        <v>40380.562913907284</v>
      </c>
      <c r="P11" s="32">
        <v>2448.2539999999999</v>
      </c>
      <c r="Q11" s="32">
        <v>3393.489</v>
      </c>
      <c r="R11" s="32">
        <v>4917.6490000000003</v>
      </c>
      <c r="S11" s="32">
        <v>3969.2660000000001</v>
      </c>
      <c r="T11" s="32">
        <v>4944.4650000000001</v>
      </c>
      <c r="U11" s="32">
        <v>6188.9520000000002</v>
      </c>
      <c r="V11" s="65">
        <v>0.1061</v>
      </c>
      <c r="W11" s="65">
        <v>0.1326</v>
      </c>
      <c r="X11" s="65">
        <v>0.1648</v>
      </c>
      <c r="Y11" s="65">
        <v>6.5500000000000003E-2</v>
      </c>
      <c r="Z11" s="65">
        <v>9.0999999999999998E-2</v>
      </c>
      <c r="AA11" s="65">
        <v>0.13100000000000001</v>
      </c>
      <c r="AB11" s="32">
        <f t="shared" si="4"/>
        <v>37377.923664122136</v>
      </c>
      <c r="AC11" s="32">
        <f t="shared" si="4"/>
        <v>37291.087912087911</v>
      </c>
      <c r="AD11" s="32">
        <f t="shared" si="4"/>
        <v>37539.305343511449</v>
      </c>
      <c r="AE11" s="32">
        <v>-880.85</v>
      </c>
      <c r="AF11" s="32">
        <v>-1191.8820000000001</v>
      </c>
      <c r="AG11" s="32">
        <v>-103.42100000000001</v>
      </c>
      <c r="AH11" s="32">
        <v>-881.18</v>
      </c>
      <c r="AI11" s="32">
        <v>-1192.212</v>
      </c>
      <c r="AJ11" s="32">
        <v>-103.751</v>
      </c>
      <c r="AK11" s="65">
        <v>-2.24E-2</v>
      </c>
      <c r="AL11" s="65">
        <v>-3.0200000000000001E-2</v>
      </c>
      <c r="AM11" s="65">
        <v>-2.5999999999999999E-3</v>
      </c>
      <c r="AN11" s="65">
        <v>-2.24E-2</v>
      </c>
      <c r="AO11" s="65">
        <v>-3.0200000000000001E-2</v>
      </c>
      <c r="AP11" s="65">
        <v>-2.5999999999999999E-3</v>
      </c>
      <c r="AQ11" s="32">
        <f t="shared" si="5"/>
        <v>39323.660714285717</v>
      </c>
      <c r="AR11" s="32">
        <f t="shared" si="5"/>
        <v>39466.291390728475</v>
      </c>
      <c r="AS11" s="32">
        <f t="shared" si="5"/>
        <v>39777.307692307695</v>
      </c>
      <c r="AT11" s="32">
        <v>2697.49</v>
      </c>
      <c r="AU11" s="32">
        <v>387.10300000000001</v>
      </c>
      <c r="AV11" s="31">
        <v>0</v>
      </c>
      <c r="AW11" s="32">
        <v>2697.49</v>
      </c>
      <c r="AX11" s="32">
        <v>1050.518</v>
      </c>
    </row>
    <row r="12" spans="1:50" x14ac:dyDescent="0.25">
      <c r="A12" s="31">
        <v>4</v>
      </c>
      <c r="B12" s="70">
        <v>320</v>
      </c>
      <c r="C12" s="70" t="str">
        <f>IF($J$1="ENG","Bank for Investments and Savings","Банк Інвестицій та заощаджень")</f>
        <v>Bank for Investments and Savings</v>
      </c>
      <c r="D12" s="31" t="str">
        <f>IF($J$1="ENG","Private banks","Банки з приватним капіталом")</f>
        <v>Private banks</v>
      </c>
      <c r="E12" s="32">
        <v>531.06399999999996</v>
      </c>
      <c r="F12" s="32">
        <v>560.28300000000002</v>
      </c>
      <c r="G12" s="65">
        <v>0.18970000000000001</v>
      </c>
      <c r="H12" s="65">
        <v>0.17979999999999999</v>
      </c>
      <c r="I12" s="32">
        <f t="shared" si="1"/>
        <v>2953.6373748609567</v>
      </c>
      <c r="J12" s="108" t="str">
        <f t="shared" si="2"/>
        <v>no</v>
      </c>
      <c r="K12" s="32">
        <v>-91.677000000000007</v>
      </c>
      <c r="L12" s="32">
        <v>-91.677000000000007</v>
      </c>
      <c r="M12" s="65">
        <v>-3.9600000000000003E-2</v>
      </c>
      <c r="N12" s="65">
        <v>-3.9600000000000003E-2</v>
      </c>
      <c r="O12" s="32">
        <f t="shared" si="3"/>
        <v>2315.0757575757575</v>
      </c>
      <c r="P12" s="32">
        <v>-126.639</v>
      </c>
      <c r="Q12" s="32">
        <v>-144.042</v>
      </c>
      <c r="R12" s="32">
        <v>-111.711</v>
      </c>
      <c r="S12" s="32">
        <v>-126.639</v>
      </c>
      <c r="T12" s="32">
        <v>-144.042</v>
      </c>
      <c r="U12" s="32">
        <v>-111.711</v>
      </c>
      <c r="V12" s="65">
        <v>-5.8099999999999999E-2</v>
      </c>
      <c r="W12" s="65">
        <v>-6.6799999999999998E-2</v>
      </c>
      <c r="X12" s="65">
        <v>-5.1200000000000002E-2</v>
      </c>
      <c r="Y12" s="65">
        <v>-5.8099999999999999E-2</v>
      </c>
      <c r="Z12" s="65">
        <v>-6.6799999999999998E-2</v>
      </c>
      <c r="AA12" s="65">
        <v>-5.1200000000000002E-2</v>
      </c>
      <c r="AB12" s="32">
        <f t="shared" si="4"/>
        <v>2179.6729776247848</v>
      </c>
      <c r="AC12" s="32">
        <f t="shared" si="4"/>
        <v>2156.3173652694613</v>
      </c>
      <c r="AD12" s="32">
        <f t="shared" si="4"/>
        <v>2181.85546875</v>
      </c>
      <c r="AE12" s="32">
        <v>-696.46100000000001</v>
      </c>
      <c r="AF12" s="32">
        <v>-854.63400000000001</v>
      </c>
      <c r="AG12" s="32">
        <v>-942.58100000000002</v>
      </c>
      <c r="AH12" s="32">
        <v>-696.46100000000001</v>
      </c>
      <c r="AI12" s="32">
        <v>-854.63400000000001</v>
      </c>
      <c r="AJ12" s="32">
        <v>-942.58100000000002</v>
      </c>
      <c r="AK12" s="65">
        <v>-0.3352</v>
      </c>
      <c r="AL12" s="65">
        <v>-0.4118</v>
      </c>
      <c r="AM12" s="65">
        <v>-0.45789999999999997</v>
      </c>
      <c r="AN12" s="65">
        <v>-0.3352</v>
      </c>
      <c r="AO12" s="65">
        <v>-0.4118</v>
      </c>
      <c r="AP12" s="65">
        <v>-0.45789999999999997</v>
      </c>
      <c r="AQ12" s="32">
        <f t="shared" si="5"/>
        <v>2077.7476133651553</v>
      </c>
      <c r="AR12" s="32">
        <f t="shared" si="5"/>
        <v>2075.361826129189</v>
      </c>
      <c r="AS12" s="32">
        <f t="shared" si="5"/>
        <v>2058.4865691198952</v>
      </c>
      <c r="AT12" s="32">
        <v>1045.508</v>
      </c>
      <c r="AU12" s="32">
        <v>344.77499999999998</v>
      </c>
      <c r="AV12" s="32">
        <v>0</v>
      </c>
      <c r="AW12" s="32">
        <v>1045.508</v>
      </c>
      <c r="AX12" s="32">
        <v>1045.508</v>
      </c>
    </row>
    <row r="13" spans="1:50" x14ac:dyDescent="0.25">
      <c r="A13" s="31">
        <v>3</v>
      </c>
      <c r="B13" s="70">
        <v>305</v>
      </c>
      <c r="C13" s="70" t="str">
        <f>IF($J$1="ENG","Vostok","Восток")</f>
        <v>Vostok</v>
      </c>
      <c r="D13" s="31" t="str">
        <f>IF($J$1="ENG","Private banks","Банки з приватним капіталом")</f>
        <v>Private banks</v>
      </c>
      <c r="E13" s="32">
        <v>447.65699999999998</v>
      </c>
      <c r="F13" s="32">
        <v>659.61800000000005</v>
      </c>
      <c r="G13" s="65">
        <v>0.124</v>
      </c>
      <c r="H13" s="65">
        <v>8.4199999999999997E-2</v>
      </c>
      <c r="I13" s="32">
        <f t="shared" si="1"/>
        <v>5316.5914489311162</v>
      </c>
      <c r="J13" s="108" t="str">
        <f t="shared" si="2"/>
        <v>no</v>
      </c>
      <c r="K13" s="32">
        <v>447.65699999999998</v>
      </c>
      <c r="L13" s="32">
        <v>615.74599999999998</v>
      </c>
      <c r="M13" s="65">
        <v>0.1164</v>
      </c>
      <c r="N13" s="65">
        <v>8.4699999999999998E-2</v>
      </c>
      <c r="O13" s="32">
        <f t="shared" si="3"/>
        <v>5285.2066115702482</v>
      </c>
      <c r="P13" s="32">
        <v>496.08100000000002</v>
      </c>
      <c r="Q13" s="32">
        <v>540.49599999999998</v>
      </c>
      <c r="R13" s="32">
        <v>591.69200000000001</v>
      </c>
      <c r="S13" s="32">
        <v>561.9</v>
      </c>
      <c r="T13" s="32">
        <v>600.51300000000003</v>
      </c>
      <c r="U13" s="32">
        <v>652.30799999999999</v>
      </c>
      <c r="V13" s="65">
        <v>0.10780000000000001</v>
      </c>
      <c r="W13" s="65">
        <v>0.114</v>
      </c>
      <c r="X13" s="65">
        <v>0.1232</v>
      </c>
      <c r="Y13" s="65">
        <v>9.5100000000000004E-2</v>
      </c>
      <c r="Z13" s="65">
        <v>0.1026</v>
      </c>
      <c r="AA13" s="65">
        <v>0.1118</v>
      </c>
      <c r="AB13" s="32">
        <f t="shared" si="4"/>
        <v>5216.4143007360672</v>
      </c>
      <c r="AC13" s="32">
        <f t="shared" si="4"/>
        <v>5267.9922027290449</v>
      </c>
      <c r="AD13" s="32">
        <f t="shared" si="4"/>
        <v>5292.4150268336316</v>
      </c>
      <c r="AE13" s="32">
        <v>160.97</v>
      </c>
      <c r="AF13" s="32">
        <v>26.529</v>
      </c>
      <c r="AG13" s="32">
        <v>-43.241999999999997</v>
      </c>
      <c r="AH13" s="32">
        <v>243.96899999999999</v>
      </c>
      <c r="AI13" s="32">
        <v>53.058</v>
      </c>
      <c r="AJ13" s="32">
        <v>-43.241999999999997</v>
      </c>
      <c r="AK13" s="65">
        <v>4.2200000000000001E-2</v>
      </c>
      <c r="AL13" s="65">
        <v>8.8999999999999999E-3</v>
      </c>
      <c r="AM13" s="65">
        <v>-7.1000000000000004E-3</v>
      </c>
      <c r="AN13" s="65">
        <v>2.7799999999999998E-2</v>
      </c>
      <c r="AO13" s="65">
        <v>4.4999999999999997E-3</v>
      </c>
      <c r="AP13" s="65">
        <v>-7.1000000000000004E-3</v>
      </c>
      <c r="AQ13" s="32">
        <f t="shared" si="5"/>
        <v>5790.2877697841732</v>
      </c>
      <c r="AR13" s="32">
        <f t="shared" si="5"/>
        <v>5895.3333333333339</v>
      </c>
      <c r="AS13" s="32">
        <f t="shared" si="5"/>
        <v>6090.4225352112671</v>
      </c>
      <c r="AT13" s="32">
        <v>294.09100000000001</v>
      </c>
      <c r="AU13" s="32">
        <v>0</v>
      </c>
      <c r="AV13" s="31">
        <v>0</v>
      </c>
      <c r="AW13" s="32">
        <v>294.09100000000001</v>
      </c>
      <c r="AX13" s="31">
        <v>0</v>
      </c>
    </row>
    <row r="14" spans="1:50" x14ac:dyDescent="0.25">
      <c r="A14" s="31"/>
      <c r="B14" s="70">
        <v>42</v>
      </c>
      <c r="C14" s="70" t="str">
        <f>IF($J$1="ENG","VTB","ВТБ")</f>
        <v>VTB</v>
      </c>
      <c r="D14" s="31" t="str">
        <f>IF($J$1="ENG","Banks owned by Russia","Банки з державним російським капіталом")</f>
        <v>Banks owned by Russia</v>
      </c>
      <c r="E14" s="32">
        <v>995.14599999999996</v>
      </c>
      <c r="F14" s="32">
        <v>1057.316</v>
      </c>
      <c r="G14" s="65">
        <v>8.2900000000000001E-2</v>
      </c>
      <c r="H14" s="65">
        <v>7.8E-2</v>
      </c>
      <c r="I14" s="32">
        <f t="shared" si="1"/>
        <v>12758.282051282051</v>
      </c>
      <c r="J14" s="108" t="str">
        <f t="shared" si="2"/>
        <v>no</v>
      </c>
      <c r="K14" s="32">
        <v>-1447.4559999999999</v>
      </c>
      <c r="L14" s="32">
        <v>-1447.4559999999999</v>
      </c>
      <c r="M14" s="65">
        <v>-0.1489</v>
      </c>
      <c r="N14" s="65">
        <v>-0.1489</v>
      </c>
      <c r="O14" s="32">
        <f t="shared" si="3"/>
        <v>9720.9939556749487</v>
      </c>
      <c r="P14" s="32">
        <v>-2533.0010000000002</v>
      </c>
      <c r="Q14" s="32">
        <v>-3505.886</v>
      </c>
      <c r="R14" s="32">
        <v>-4427.3959999999997</v>
      </c>
      <c r="S14" s="32">
        <v>-2533.0010000000002</v>
      </c>
      <c r="T14" s="32">
        <v>-3505.886</v>
      </c>
      <c r="U14" s="32">
        <v>-4427.3959999999997</v>
      </c>
      <c r="V14" s="65">
        <v>-0.32719999999999999</v>
      </c>
      <c r="W14" s="65">
        <v>-0.46500000000000002</v>
      </c>
      <c r="X14" s="65">
        <v>-0.59379999999999999</v>
      </c>
      <c r="Y14" s="65">
        <v>-0.32719999999999999</v>
      </c>
      <c r="Z14" s="65">
        <v>-0.46500000000000002</v>
      </c>
      <c r="AA14" s="65">
        <v>-0.59379999999999999</v>
      </c>
      <c r="AB14" s="32">
        <f t="shared" si="4"/>
        <v>7741.4455990220058</v>
      </c>
      <c r="AC14" s="32">
        <f t="shared" si="4"/>
        <v>7539.5397849462361</v>
      </c>
      <c r="AD14" s="32">
        <f t="shared" si="4"/>
        <v>7456.039070394072</v>
      </c>
      <c r="AE14" s="32">
        <v>-4243.3689999999997</v>
      </c>
      <c r="AF14" s="32">
        <v>-5880.393</v>
      </c>
      <c r="AG14" s="32">
        <v>-7332.8630000000003</v>
      </c>
      <c r="AH14" s="32">
        <v>-4243.3689999999997</v>
      </c>
      <c r="AI14" s="32">
        <v>-5880.393</v>
      </c>
      <c r="AJ14" s="32">
        <v>-7332.8630000000003</v>
      </c>
      <c r="AK14" s="65">
        <v>-0.93440000000000001</v>
      </c>
      <c r="AL14" s="65">
        <v>-1.6318999999999999</v>
      </c>
      <c r="AM14" s="65">
        <v>-2.5518000000000001</v>
      </c>
      <c r="AN14" s="65">
        <v>-0.93440000000000001</v>
      </c>
      <c r="AO14" s="65">
        <v>-1.6318999999999999</v>
      </c>
      <c r="AP14" s="65">
        <v>-2.5518000000000001</v>
      </c>
      <c r="AQ14" s="32">
        <f t="shared" si="5"/>
        <v>4541.2767551369861</v>
      </c>
      <c r="AR14" s="32">
        <f t="shared" si="5"/>
        <v>3603.402782033213</v>
      </c>
      <c r="AS14" s="32">
        <f t="shared" si="5"/>
        <v>2873.6041225801396</v>
      </c>
      <c r="AT14" s="32">
        <v>7451.4</v>
      </c>
      <c r="AU14" s="32">
        <v>3282.7330000000002</v>
      </c>
      <c r="AV14" s="87" t="str">
        <f>IF($J$1="ENG","insolvent","неплатоспроможний")</f>
        <v>insolvent</v>
      </c>
      <c r="AW14" s="32">
        <v>7451.4</v>
      </c>
      <c r="AX14" s="87" t="str">
        <f>IF($J$1="ENG","insolvent","неплатоспроможний")</f>
        <v>insolvent</v>
      </c>
    </row>
    <row r="15" spans="1:50" x14ac:dyDescent="0.25">
      <c r="A15" s="31">
        <v>7</v>
      </c>
      <c r="B15" s="70">
        <v>142</v>
      </c>
      <c r="C15" s="70" t="str">
        <f>IF($J$1="ENG","Idea Bank","Ідея Банк")</f>
        <v>Idea Bank</v>
      </c>
      <c r="D15" s="31" t="str">
        <f>IF($J$1="ENG","Foreign banks","Банки іноземних банківських груп")</f>
        <v>Foreign banks</v>
      </c>
      <c r="E15" s="32">
        <v>218.214</v>
      </c>
      <c r="F15" s="32">
        <v>436.42700000000002</v>
      </c>
      <c r="G15" s="65">
        <v>0.15409999999999999</v>
      </c>
      <c r="H15" s="65">
        <v>7.7100000000000002E-2</v>
      </c>
      <c r="I15" s="32">
        <f t="shared" si="1"/>
        <v>2830.2723735408558</v>
      </c>
      <c r="J15" s="108" t="str">
        <f t="shared" si="2"/>
        <v>no</v>
      </c>
      <c r="K15" s="32">
        <v>218.214</v>
      </c>
      <c r="L15" s="32">
        <v>436.42700000000002</v>
      </c>
      <c r="M15" s="65">
        <v>0.15210000000000001</v>
      </c>
      <c r="N15" s="65">
        <v>7.5999999999999998E-2</v>
      </c>
      <c r="O15" s="32">
        <f t="shared" si="3"/>
        <v>2871.2368421052633</v>
      </c>
      <c r="P15" s="32">
        <v>899.12800000000004</v>
      </c>
      <c r="Q15" s="32">
        <v>1467.9639999999999</v>
      </c>
      <c r="R15" s="32">
        <v>2060.5659999999998</v>
      </c>
      <c r="S15" s="32">
        <v>995.55200000000002</v>
      </c>
      <c r="T15" s="32">
        <v>1548.8620000000001</v>
      </c>
      <c r="U15" s="32">
        <v>2124.8960000000002</v>
      </c>
      <c r="V15" s="65">
        <v>0.3473</v>
      </c>
      <c r="W15" s="65">
        <v>0.54010000000000002</v>
      </c>
      <c r="X15" s="65">
        <v>0.74080000000000001</v>
      </c>
      <c r="Y15" s="65">
        <v>0.31359999999999999</v>
      </c>
      <c r="Z15" s="65">
        <v>0.51190000000000002</v>
      </c>
      <c r="AA15" s="65">
        <v>0.71840000000000004</v>
      </c>
      <c r="AB15" s="32">
        <f t="shared" si="4"/>
        <v>2867.1173469387759</v>
      </c>
      <c r="AC15" s="32">
        <f t="shared" si="4"/>
        <v>2867.67728071889</v>
      </c>
      <c r="AD15" s="32">
        <f t="shared" si="4"/>
        <v>2868.2711581291755</v>
      </c>
      <c r="AE15" s="32">
        <v>813.85799999999995</v>
      </c>
      <c r="AF15" s="32">
        <v>1220.058</v>
      </c>
      <c r="AG15" s="32">
        <v>1743.3440000000001</v>
      </c>
      <c r="AH15" s="32">
        <v>931.04200000000003</v>
      </c>
      <c r="AI15" s="32">
        <v>1320.384</v>
      </c>
      <c r="AJ15" s="32">
        <v>1822.9880000000001</v>
      </c>
      <c r="AK15" s="65">
        <v>0.32450000000000001</v>
      </c>
      <c r="AL15" s="65">
        <v>0.46529999999999999</v>
      </c>
      <c r="AM15" s="65">
        <v>0.63090000000000002</v>
      </c>
      <c r="AN15" s="65">
        <v>0.28360000000000002</v>
      </c>
      <c r="AO15" s="65">
        <v>0.43</v>
      </c>
      <c r="AP15" s="65">
        <v>0.60340000000000005</v>
      </c>
      <c r="AQ15" s="32">
        <f t="shared" si="5"/>
        <v>2869.7390691114242</v>
      </c>
      <c r="AR15" s="32">
        <f t="shared" si="5"/>
        <v>2837.3441860465118</v>
      </c>
      <c r="AS15" s="32">
        <f t="shared" si="5"/>
        <v>2889.2011932383161</v>
      </c>
      <c r="AT15" s="32">
        <v>0</v>
      </c>
      <c r="AU15" s="32">
        <v>0</v>
      </c>
      <c r="AV15" s="66">
        <v>0</v>
      </c>
      <c r="AW15" s="32">
        <v>0</v>
      </c>
      <c r="AX15" s="31">
        <v>0</v>
      </c>
    </row>
    <row r="16" spans="1:50" x14ac:dyDescent="0.25">
      <c r="A16" s="31">
        <v>5</v>
      </c>
      <c r="B16" s="70">
        <v>270</v>
      </c>
      <c r="C16" s="70" t="str">
        <f>IF($J$1="ENG","Kredyt Dnipro","Кредит Дніпро")</f>
        <v>Kredyt Dnipro</v>
      </c>
      <c r="D16" s="31" t="str">
        <f>IF($J$1="ENG","Private banks","Банки з приватним капіталом")</f>
        <v>Private banks</v>
      </c>
      <c r="E16" s="32">
        <v>802.02</v>
      </c>
      <c r="F16" s="32">
        <v>897.67399999999998</v>
      </c>
      <c r="G16" s="65">
        <v>0.12759999999999999</v>
      </c>
      <c r="H16" s="65">
        <v>0.114</v>
      </c>
      <c r="I16" s="32">
        <f t="shared" si="1"/>
        <v>7035.2631578947367</v>
      </c>
      <c r="J16" s="108" t="str">
        <f t="shared" si="2"/>
        <v>no</v>
      </c>
      <c r="K16" s="32">
        <v>639.95699999999999</v>
      </c>
      <c r="L16" s="32">
        <v>735.61</v>
      </c>
      <c r="M16" s="65">
        <v>0.10730000000000001</v>
      </c>
      <c r="N16" s="65">
        <v>9.3399999999999997E-2</v>
      </c>
      <c r="O16" s="32">
        <f t="shared" si="3"/>
        <v>6851.7880085653105</v>
      </c>
      <c r="P16" s="32">
        <v>-271.10700000000003</v>
      </c>
      <c r="Q16" s="32">
        <v>-646.38400000000001</v>
      </c>
      <c r="R16" s="32">
        <v>-990.76400000000001</v>
      </c>
      <c r="S16" s="32">
        <v>-271.43700000000001</v>
      </c>
      <c r="T16" s="32">
        <v>-646.71400000000006</v>
      </c>
      <c r="U16" s="32">
        <v>-991.09400000000005</v>
      </c>
      <c r="V16" s="65">
        <v>-4.82E-2</v>
      </c>
      <c r="W16" s="65">
        <v>-0.11459999999999999</v>
      </c>
      <c r="X16" s="65">
        <v>-0.17560000000000001</v>
      </c>
      <c r="Y16" s="65">
        <v>-4.8099999999999997E-2</v>
      </c>
      <c r="Z16" s="65">
        <v>-0.11459999999999999</v>
      </c>
      <c r="AA16" s="65">
        <v>-0.17549999999999999</v>
      </c>
      <c r="AB16" s="32">
        <f t="shared" si="4"/>
        <v>5636.3201663201671</v>
      </c>
      <c r="AC16" s="32">
        <f t="shared" si="4"/>
        <v>5640.3490401396166</v>
      </c>
      <c r="AD16" s="32">
        <f t="shared" si="4"/>
        <v>5645.3789173789182</v>
      </c>
      <c r="AE16" s="32">
        <v>-1225.867</v>
      </c>
      <c r="AF16" s="32">
        <v>-1978.3610000000001</v>
      </c>
      <c r="AG16" s="32">
        <v>-2620.6550000000002</v>
      </c>
      <c r="AH16" s="32">
        <v>-1226.1969999999999</v>
      </c>
      <c r="AI16" s="32">
        <v>-1978.691</v>
      </c>
      <c r="AJ16" s="32">
        <v>-2620.9850000000001</v>
      </c>
      <c r="AK16" s="65">
        <v>-0.22270000000000001</v>
      </c>
      <c r="AL16" s="65">
        <v>-0.36080000000000001</v>
      </c>
      <c r="AM16" s="65">
        <v>-0.47949999999999998</v>
      </c>
      <c r="AN16" s="65">
        <v>-0.22259999999999999</v>
      </c>
      <c r="AO16" s="65">
        <v>-0.36070000000000002</v>
      </c>
      <c r="AP16" s="65">
        <v>-0.47939999999999999</v>
      </c>
      <c r="AQ16" s="32">
        <f t="shared" si="5"/>
        <v>5507.0395327942497</v>
      </c>
      <c r="AR16" s="32">
        <f t="shared" si="5"/>
        <v>5484.7823676185199</v>
      </c>
      <c r="AS16" s="32">
        <f t="shared" si="5"/>
        <v>5466.531080517314</v>
      </c>
      <c r="AT16" s="32">
        <v>2846.1489999999999</v>
      </c>
      <c r="AU16" s="32">
        <v>739.02300000000002</v>
      </c>
      <c r="AV16" s="32">
        <v>0</v>
      </c>
      <c r="AW16" s="32">
        <v>2846.1489999999999</v>
      </c>
      <c r="AX16" s="32">
        <v>2077.6849999999999</v>
      </c>
    </row>
    <row r="17" spans="1:50" x14ac:dyDescent="0.25">
      <c r="A17" s="31">
        <v>8</v>
      </c>
      <c r="B17" s="70">
        <v>171</v>
      </c>
      <c r="C17" s="70" t="str">
        <f>IF($J$1="ENG","Credit Agricole Bank","Креді Агріколь Банк")</f>
        <v>Credit Agricole Bank</v>
      </c>
      <c r="D17" s="31" t="str">
        <f>IF($J$1="ENG","Foreign banks","Банки іноземних банківських груп")</f>
        <v>Foreign banks</v>
      </c>
      <c r="E17" s="32">
        <v>1909.6030000000001</v>
      </c>
      <c r="F17" s="32">
        <v>3669.95</v>
      </c>
      <c r="G17" s="65">
        <v>0.19409999999999999</v>
      </c>
      <c r="H17" s="65">
        <v>0.10100000000000001</v>
      </c>
      <c r="I17" s="32">
        <f t="shared" si="1"/>
        <v>18906.960396039602</v>
      </c>
      <c r="J17" s="108" t="str">
        <f t="shared" si="2"/>
        <v>no</v>
      </c>
      <c r="K17" s="32">
        <v>1909.6030000000001</v>
      </c>
      <c r="L17" s="32">
        <v>3525.51</v>
      </c>
      <c r="M17" s="65">
        <v>0.186</v>
      </c>
      <c r="N17" s="65">
        <v>0.1007</v>
      </c>
      <c r="O17" s="32">
        <f t="shared" si="3"/>
        <v>18963.286991062563</v>
      </c>
      <c r="P17" s="32">
        <v>3570.9960000000001</v>
      </c>
      <c r="Q17" s="32">
        <v>4987.1540000000005</v>
      </c>
      <c r="R17" s="32">
        <v>6477.03</v>
      </c>
      <c r="S17" s="32">
        <v>4545.1189999999997</v>
      </c>
      <c r="T17" s="32">
        <v>5815.4669999999996</v>
      </c>
      <c r="U17" s="32">
        <v>7089.9139999999998</v>
      </c>
      <c r="V17" s="65">
        <v>0.2228</v>
      </c>
      <c r="W17" s="65">
        <v>0.28410000000000002</v>
      </c>
      <c r="X17" s="65">
        <v>0.34539999999999998</v>
      </c>
      <c r="Y17" s="65">
        <v>0.17499999999999999</v>
      </c>
      <c r="Z17" s="65">
        <v>0.24360000000000001</v>
      </c>
      <c r="AA17" s="65">
        <v>0.3155</v>
      </c>
      <c r="AB17" s="32">
        <f t="shared" si="4"/>
        <v>20405.69142857143</v>
      </c>
      <c r="AC17" s="32">
        <f t="shared" si="4"/>
        <v>20472.717569786535</v>
      </c>
      <c r="AD17" s="32">
        <f t="shared" si="4"/>
        <v>20529.413629160063</v>
      </c>
      <c r="AE17" s="32">
        <v>3154.0619999999999</v>
      </c>
      <c r="AF17" s="32">
        <v>4358.2139999999999</v>
      </c>
      <c r="AG17" s="32">
        <v>5722.741</v>
      </c>
      <c r="AH17" s="32">
        <v>4421.1019999999999</v>
      </c>
      <c r="AI17" s="32">
        <v>5490.0519999999997</v>
      </c>
      <c r="AJ17" s="32">
        <v>6595.3220000000001</v>
      </c>
      <c r="AK17" s="65">
        <v>0.2167</v>
      </c>
      <c r="AL17" s="65">
        <v>0.26900000000000002</v>
      </c>
      <c r="AM17" s="65">
        <v>0.32169999999999999</v>
      </c>
      <c r="AN17" s="65">
        <v>0.15459999999999999</v>
      </c>
      <c r="AO17" s="65">
        <v>0.2135</v>
      </c>
      <c r="AP17" s="65">
        <v>0.27910000000000001</v>
      </c>
      <c r="AQ17" s="32">
        <f t="shared" si="5"/>
        <v>20401.435963777491</v>
      </c>
      <c r="AR17" s="32">
        <f t="shared" si="5"/>
        <v>20413.180327868853</v>
      </c>
      <c r="AS17" s="32">
        <f t="shared" si="5"/>
        <v>20504.267287710496</v>
      </c>
      <c r="AT17" s="32">
        <v>0</v>
      </c>
      <c r="AU17" s="32">
        <v>0</v>
      </c>
      <c r="AV17" s="66">
        <v>0</v>
      </c>
      <c r="AW17" s="32">
        <v>0</v>
      </c>
      <c r="AX17" s="31">
        <v>0</v>
      </c>
    </row>
    <row r="18" spans="1:50" x14ac:dyDescent="0.25">
      <c r="A18" s="31">
        <v>9</v>
      </c>
      <c r="B18" s="70">
        <v>88</v>
      </c>
      <c r="C18" s="70" t="str">
        <f>IF($J$1="ENG","Kredobank","Кредобанк")</f>
        <v>Kredobank</v>
      </c>
      <c r="D18" s="31" t="str">
        <f>IF($J$1="ENG","Foreign banks","Банки іноземних банківських груп")</f>
        <v>Foreign banks</v>
      </c>
      <c r="E18" s="32">
        <v>879.995</v>
      </c>
      <c r="F18" s="32">
        <v>1410.537</v>
      </c>
      <c r="G18" s="65">
        <v>0.15709999999999999</v>
      </c>
      <c r="H18" s="65">
        <v>9.8000000000000004E-2</v>
      </c>
      <c r="I18" s="32">
        <f t="shared" si="1"/>
        <v>8979.5408163265311</v>
      </c>
      <c r="J18" s="108" t="str">
        <f t="shared" si="2"/>
        <v>no</v>
      </c>
      <c r="K18" s="32">
        <v>882.66099999999994</v>
      </c>
      <c r="L18" s="32">
        <v>1391.992</v>
      </c>
      <c r="M18" s="65">
        <v>0.15540000000000001</v>
      </c>
      <c r="N18" s="65">
        <v>9.8500000000000004E-2</v>
      </c>
      <c r="O18" s="32">
        <f t="shared" si="3"/>
        <v>8961.0253807106583</v>
      </c>
      <c r="P18" s="32">
        <v>1769.077</v>
      </c>
      <c r="Q18" s="32">
        <v>2305.5030000000002</v>
      </c>
      <c r="R18" s="32">
        <v>2895.79</v>
      </c>
      <c r="S18" s="32">
        <v>1878.145</v>
      </c>
      <c r="T18" s="32">
        <v>2414.5709999999999</v>
      </c>
      <c r="U18" s="32">
        <v>3004.857</v>
      </c>
      <c r="V18" s="65">
        <v>0.2089</v>
      </c>
      <c r="W18" s="65">
        <v>0.26729999999999998</v>
      </c>
      <c r="X18" s="65">
        <v>0.33169999999999999</v>
      </c>
      <c r="Y18" s="65">
        <v>0.1968</v>
      </c>
      <c r="Z18" s="65">
        <v>0.25530000000000003</v>
      </c>
      <c r="AA18" s="65">
        <v>0.31969999999999998</v>
      </c>
      <c r="AB18" s="32">
        <f t="shared" si="4"/>
        <v>8989.2123983739839</v>
      </c>
      <c r="AC18" s="32">
        <f t="shared" si="4"/>
        <v>9030.5640423031728</v>
      </c>
      <c r="AD18" s="32">
        <f t="shared" si="4"/>
        <v>9057.8354707538329</v>
      </c>
      <c r="AE18" s="32">
        <v>1490.3510000000001</v>
      </c>
      <c r="AF18" s="32">
        <v>1957.23</v>
      </c>
      <c r="AG18" s="32">
        <v>2575.5230000000001</v>
      </c>
      <c r="AH18" s="32">
        <v>1602.086</v>
      </c>
      <c r="AI18" s="32">
        <v>2068.9639999999999</v>
      </c>
      <c r="AJ18" s="32">
        <v>2687.2579999999998</v>
      </c>
      <c r="AK18" s="65">
        <v>0.17430000000000001</v>
      </c>
      <c r="AL18" s="65">
        <v>0.2228</v>
      </c>
      <c r="AM18" s="65">
        <v>0.28410000000000002</v>
      </c>
      <c r="AN18" s="65">
        <v>0.16209999999999999</v>
      </c>
      <c r="AO18" s="65">
        <v>0.21079999999999999</v>
      </c>
      <c r="AP18" s="65">
        <v>0.27229999999999999</v>
      </c>
      <c r="AQ18" s="32">
        <f t="shared" si="5"/>
        <v>9194.0222085132646</v>
      </c>
      <c r="AR18" s="32">
        <f t="shared" si="5"/>
        <v>9284.7722960151805</v>
      </c>
      <c r="AS18" s="32">
        <f t="shared" si="5"/>
        <v>9458.4024972456864</v>
      </c>
      <c r="AT18" s="32">
        <v>0</v>
      </c>
      <c r="AU18" s="32">
        <v>0</v>
      </c>
      <c r="AV18" s="66">
        <v>0</v>
      </c>
      <c r="AW18" s="32">
        <v>0</v>
      </c>
      <c r="AX18" s="31">
        <v>0</v>
      </c>
    </row>
    <row r="19" spans="1:50" x14ac:dyDescent="0.25">
      <c r="A19" s="31">
        <v>10</v>
      </c>
      <c r="B19" s="70">
        <v>126</v>
      </c>
      <c r="C19" s="70" t="str">
        <f>IF($J$1="ENG","Megabank","Мегабанк")</f>
        <v>Megabank</v>
      </c>
      <c r="D19" s="31" t="str">
        <f>IF($J$1="ENG","Private banks","Банки з приватним капіталом")</f>
        <v>Private banks</v>
      </c>
      <c r="E19" s="32">
        <v>510.93</v>
      </c>
      <c r="F19" s="32">
        <v>675.43299999999999</v>
      </c>
      <c r="G19" s="65">
        <v>8.7099999999999997E-2</v>
      </c>
      <c r="H19" s="65">
        <v>6.59E-2</v>
      </c>
      <c r="I19" s="32">
        <f t="shared" si="1"/>
        <v>7753.110773899848</v>
      </c>
      <c r="J19" s="108" t="str">
        <f t="shared" si="2"/>
        <v>no</v>
      </c>
      <c r="K19" s="32">
        <v>356.48599999999999</v>
      </c>
      <c r="L19" s="32">
        <v>520.98900000000003</v>
      </c>
      <c r="M19" s="65">
        <v>6.8599999999999994E-2</v>
      </c>
      <c r="N19" s="65">
        <v>4.6899999999999997E-2</v>
      </c>
      <c r="O19" s="32">
        <f t="shared" si="3"/>
        <v>7600.9808102345414</v>
      </c>
      <c r="P19" s="32">
        <v>-264.15600000000001</v>
      </c>
      <c r="Q19" s="32">
        <v>-606.5</v>
      </c>
      <c r="R19" s="32">
        <v>-626.14499999999998</v>
      </c>
      <c r="S19" s="32">
        <v>-264.18599999999998</v>
      </c>
      <c r="T19" s="32">
        <v>-606.53</v>
      </c>
      <c r="U19" s="32">
        <v>-626.17499999999995</v>
      </c>
      <c r="V19" s="65">
        <v>-3.7100000000000001E-2</v>
      </c>
      <c r="W19" s="65">
        <v>-8.7499999999999994E-2</v>
      </c>
      <c r="X19" s="65">
        <v>-8.9099999999999999E-2</v>
      </c>
      <c r="Y19" s="65">
        <v>-3.7100000000000001E-2</v>
      </c>
      <c r="Z19" s="65">
        <v>-8.7499999999999994E-2</v>
      </c>
      <c r="AA19" s="65">
        <v>-8.9099999999999999E-2</v>
      </c>
      <c r="AB19" s="32">
        <f t="shared" si="4"/>
        <v>7120.1078167115902</v>
      </c>
      <c r="AC19" s="32">
        <f t="shared" si="4"/>
        <v>6931.4285714285716</v>
      </c>
      <c r="AD19" s="32">
        <f t="shared" si="4"/>
        <v>7027.4410774410771</v>
      </c>
      <c r="AE19" s="32">
        <v>-1205.752</v>
      </c>
      <c r="AF19" s="32">
        <v>-2162.607</v>
      </c>
      <c r="AG19" s="32">
        <v>-2394.607</v>
      </c>
      <c r="AH19" s="32">
        <v>-1205.7819999999999</v>
      </c>
      <c r="AI19" s="32">
        <v>-2162.6370000000002</v>
      </c>
      <c r="AJ19" s="32">
        <v>-2394.6370000000002</v>
      </c>
      <c r="AK19" s="65">
        <v>-0.16420000000000001</v>
      </c>
      <c r="AL19" s="65">
        <v>-0.30959999999999999</v>
      </c>
      <c r="AM19" s="65">
        <v>-0.33650000000000002</v>
      </c>
      <c r="AN19" s="65">
        <v>-0.16420000000000001</v>
      </c>
      <c r="AO19" s="65">
        <v>-0.30959999999999999</v>
      </c>
      <c r="AP19" s="65">
        <v>-0.33650000000000002</v>
      </c>
      <c r="AQ19" s="32">
        <f t="shared" si="5"/>
        <v>7343.1912302070641</v>
      </c>
      <c r="AR19" s="32">
        <f t="shared" si="5"/>
        <v>6985.1647286821708</v>
      </c>
      <c r="AS19" s="32">
        <f t="shared" si="5"/>
        <v>7116.2169390787512</v>
      </c>
      <c r="AT19" s="32">
        <v>2688.1570000000002</v>
      </c>
      <c r="AU19" s="32">
        <v>839.74300000000005</v>
      </c>
      <c r="AV19" s="84">
        <v>610.75300000000004</v>
      </c>
      <c r="AW19" s="32">
        <v>2688.1570000000002</v>
      </c>
      <c r="AX19" s="32">
        <v>2265.9789999999998</v>
      </c>
    </row>
    <row r="20" spans="1:50" x14ac:dyDescent="0.25">
      <c r="A20" s="31">
        <v>11</v>
      </c>
      <c r="B20" s="70">
        <v>296</v>
      </c>
      <c r="C20" s="70" t="str">
        <f>IF($J$1="ENG","OTP Bank","ОТП Банк")</f>
        <v>OTP Bank</v>
      </c>
      <c r="D20" s="31" t="str">
        <f>IF($J$1="ENG","Foreign banks","Банки іноземних банківських груп")</f>
        <v>Foreign banks</v>
      </c>
      <c r="E20" s="32">
        <v>2444.2809999999999</v>
      </c>
      <c r="F20" s="32">
        <v>3234.4949999999999</v>
      </c>
      <c r="G20" s="65">
        <v>0.15659999999999999</v>
      </c>
      <c r="H20" s="65">
        <v>0.1183</v>
      </c>
      <c r="I20" s="32">
        <f t="shared" si="1"/>
        <v>20661.715976331361</v>
      </c>
      <c r="J20" s="108" t="str">
        <f t="shared" si="2"/>
        <v>no</v>
      </c>
      <c r="K20" s="32">
        <v>2444.2809999999999</v>
      </c>
      <c r="L20" s="32">
        <v>3286.547</v>
      </c>
      <c r="M20" s="65">
        <v>0.1578</v>
      </c>
      <c r="N20" s="65">
        <v>0.1174</v>
      </c>
      <c r="O20" s="32">
        <f t="shared" si="3"/>
        <v>20820.110732538331</v>
      </c>
      <c r="P20" s="32">
        <v>4351.7420000000002</v>
      </c>
      <c r="Q20" s="32">
        <v>5566.799</v>
      </c>
      <c r="R20" s="32">
        <v>6856.7749999999996</v>
      </c>
      <c r="S20" s="32">
        <v>4351.7420000000002</v>
      </c>
      <c r="T20" s="32">
        <v>5566.799</v>
      </c>
      <c r="U20" s="32">
        <v>6856.7749999999996</v>
      </c>
      <c r="V20" s="65">
        <v>0.20860000000000001</v>
      </c>
      <c r="W20" s="65">
        <v>0.2656</v>
      </c>
      <c r="X20" s="65">
        <v>0.3266</v>
      </c>
      <c r="Y20" s="65">
        <v>0.20860000000000001</v>
      </c>
      <c r="Z20" s="65">
        <v>0.2656</v>
      </c>
      <c r="AA20" s="65">
        <v>0.3266</v>
      </c>
      <c r="AB20" s="32">
        <f t="shared" si="4"/>
        <v>20861.658676893578</v>
      </c>
      <c r="AC20" s="32">
        <f t="shared" si="4"/>
        <v>20959.33358433735</v>
      </c>
      <c r="AD20" s="32">
        <f t="shared" si="4"/>
        <v>20994.412124923452</v>
      </c>
      <c r="AE20" s="32">
        <v>3188.7910000000002</v>
      </c>
      <c r="AF20" s="32">
        <v>4032.431</v>
      </c>
      <c r="AG20" s="32">
        <v>5177.7439999999997</v>
      </c>
      <c r="AH20" s="32">
        <v>3188.7910000000002</v>
      </c>
      <c r="AI20" s="32">
        <v>4032.431</v>
      </c>
      <c r="AJ20" s="32">
        <v>5177.7430000000004</v>
      </c>
      <c r="AK20" s="65">
        <v>0.15690000000000001</v>
      </c>
      <c r="AL20" s="65">
        <v>0.19919999999999999</v>
      </c>
      <c r="AM20" s="65">
        <v>0.25459999999999999</v>
      </c>
      <c r="AN20" s="65">
        <v>0.15690000000000001</v>
      </c>
      <c r="AO20" s="65">
        <v>0.19919999999999999</v>
      </c>
      <c r="AP20" s="65">
        <v>0.25459999999999999</v>
      </c>
      <c r="AQ20" s="32">
        <f t="shared" si="5"/>
        <v>20323.715742511155</v>
      </c>
      <c r="AR20" s="32">
        <f t="shared" si="5"/>
        <v>20243.127510040162</v>
      </c>
      <c r="AS20" s="32">
        <f t="shared" si="5"/>
        <v>20336.779261586802</v>
      </c>
      <c r="AT20" s="32">
        <v>0</v>
      </c>
      <c r="AU20" s="32">
        <v>0</v>
      </c>
      <c r="AV20" s="31">
        <v>0</v>
      </c>
      <c r="AW20" s="32">
        <v>0</v>
      </c>
      <c r="AX20" s="31">
        <v>0</v>
      </c>
    </row>
    <row r="21" spans="1:50" x14ac:dyDescent="0.25">
      <c r="A21" s="31">
        <v>12</v>
      </c>
      <c r="B21" s="70">
        <v>6</v>
      </c>
      <c r="C21" s="70" t="str">
        <f>IF($J$1="ENG","Oschadbank","Ощадбанк")</f>
        <v>Oschadbank</v>
      </c>
      <c r="D21" s="31" t="str">
        <f>IF($J$1="ENG","State-owned banks","Банки з державною часткою")</f>
        <v>State-owned banks</v>
      </c>
      <c r="E21" s="32">
        <v>10344.343000000001</v>
      </c>
      <c r="F21" s="32">
        <v>14055.174000000001</v>
      </c>
      <c r="G21" s="65">
        <v>0.18770000000000001</v>
      </c>
      <c r="H21" s="65">
        <v>0.1381</v>
      </c>
      <c r="I21" s="32">
        <f t="shared" si="1"/>
        <v>74904.728457639401</v>
      </c>
      <c r="J21" s="108" t="str">
        <f t="shared" si="2"/>
        <v>no</v>
      </c>
      <c r="K21" s="32">
        <v>9122.2939999999999</v>
      </c>
      <c r="L21" s="32">
        <v>12833.119000000001</v>
      </c>
      <c r="M21" s="65">
        <v>0.17330000000000001</v>
      </c>
      <c r="N21" s="65">
        <v>0.1232</v>
      </c>
      <c r="O21" s="32">
        <f t="shared" si="3"/>
        <v>74044.594155844155</v>
      </c>
      <c r="P21" s="32">
        <v>12640.493</v>
      </c>
      <c r="Q21" s="32">
        <v>14411.39</v>
      </c>
      <c r="R21" s="32">
        <v>18191.545999999998</v>
      </c>
      <c r="S21" s="32">
        <v>16401.258999999998</v>
      </c>
      <c r="T21" s="32">
        <v>18232.085999999999</v>
      </c>
      <c r="U21" s="32">
        <v>21452.895</v>
      </c>
      <c r="V21" s="65">
        <v>0.2195</v>
      </c>
      <c r="W21" s="65">
        <v>0.24779999999999999</v>
      </c>
      <c r="X21" s="65">
        <v>0.28639999999999999</v>
      </c>
      <c r="Y21" s="65">
        <v>0.16919999999999999</v>
      </c>
      <c r="Z21" s="65">
        <v>0.19589999999999999</v>
      </c>
      <c r="AA21" s="65">
        <v>0.24279999999999999</v>
      </c>
      <c r="AB21" s="32">
        <f t="shared" si="4"/>
        <v>74707.405437352252</v>
      </c>
      <c r="AC21" s="32">
        <f t="shared" si="4"/>
        <v>73565.033180193976</v>
      </c>
      <c r="AD21" s="32">
        <f t="shared" si="4"/>
        <v>74923.995057660621</v>
      </c>
      <c r="AE21" s="32">
        <v>1064.377</v>
      </c>
      <c r="AF21" s="32">
        <v>-3807.355</v>
      </c>
      <c r="AG21" s="32">
        <v>-3662.5439999999999</v>
      </c>
      <c r="AH21" s="32">
        <v>2071.5349999999999</v>
      </c>
      <c r="AI21" s="32">
        <v>-3864.5749999999998</v>
      </c>
      <c r="AJ21" s="32">
        <v>-3719.7640000000001</v>
      </c>
      <c r="AK21" s="65">
        <v>3.0800000000000001E-2</v>
      </c>
      <c r="AL21" s="65">
        <v>-6.1400000000000003E-2</v>
      </c>
      <c r="AM21" s="65">
        <v>-6.0499999999999998E-2</v>
      </c>
      <c r="AN21" s="65">
        <v>1.5800000000000002E-2</v>
      </c>
      <c r="AO21" s="65">
        <v>-6.0499999999999998E-2</v>
      </c>
      <c r="AP21" s="65">
        <v>-5.96E-2</v>
      </c>
      <c r="AQ21" s="32">
        <f t="shared" si="5"/>
        <v>67365.6329113924</v>
      </c>
      <c r="AR21" s="32">
        <f t="shared" si="5"/>
        <v>62931.487603305788</v>
      </c>
      <c r="AS21" s="32">
        <f t="shared" si="5"/>
        <v>61452.080536912748</v>
      </c>
      <c r="AT21" s="32">
        <v>6208.5969999999998</v>
      </c>
      <c r="AU21" s="32">
        <v>0</v>
      </c>
      <c r="AV21" s="31">
        <v>0</v>
      </c>
      <c r="AW21" s="32">
        <v>6208.5969999999998</v>
      </c>
      <c r="AX21" s="32">
        <v>1558.405</v>
      </c>
    </row>
    <row r="22" spans="1:50" x14ac:dyDescent="0.25">
      <c r="A22" s="31">
        <v>13</v>
      </c>
      <c r="B22" s="70">
        <v>106</v>
      </c>
      <c r="C22" s="70" t="str">
        <f>IF($J$1="ENG","Pivdennyi","Південний")</f>
        <v>Pivdennyi</v>
      </c>
      <c r="D22" s="31" t="str">
        <f>IF($J$1="ENG","Private banks","Банки з приватним капіталом")</f>
        <v>Private banks</v>
      </c>
      <c r="E22" s="32">
        <v>1741.568</v>
      </c>
      <c r="F22" s="32">
        <v>2101.5189999999998</v>
      </c>
      <c r="G22" s="65">
        <v>0.1037</v>
      </c>
      <c r="H22" s="65">
        <v>8.5999999999999993E-2</v>
      </c>
      <c r="I22" s="32">
        <f t="shared" si="1"/>
        <v>20250.79069767442</v>
      </c>
      <c r="J22" s="108" t="str">
        <f t="shared" si="2"/>
        <v>no</v>
      </c>
      <c r="K22" s="32">
        <v>1741.568</v>
      </c>
      <c r="L22" s="32">
        <v>1996.47</v>
      </c>
      <c r="M22" s="65">
        <v>9.8900000000000002E-2</v>
      </c>
      <c r="N22" s="65">
        <v>8.6199999999999999E-2</v>
      </c>
      <c r="O22" s="32">
        <f t="shared" si="3"/>
        <v>20203.805104408351</v>
      </c>
      <c r="P22" s="32">
        <v>1843.3910000000001</v>
      </c>
      <c r="Q22" s="32">
        <v>1982.615</v>
      </c>
      <c r="R22" s="32">
        <v>2471.0050000000001</v>
      </c>
      <c r="S22" s="32">
        <v>1946.836</v>
      </c>
      <c r="T22" s="32">
        <v>2065.6390000000001</v>
      </c>
      <c r="U22" s="32">
        <v>2532.71</v>
      </c>
      <c r="V22" s="65">
        <v>9.8299999999999998E-2</v>
      </c>
      <c r="W22" s="65">
        <v>0.1051</v>
      </c>
      <c r="X22" s="65">
        <v>0.128</v>
      </c>
      <c r="Y22" s="65">
        <v>9.3100000000000002E-2</v>
      </c>
      <c r="Z22" s="65">
        <v>0.1009</v>
      </c>
      <c r="AA22" s="65">
        <v>0.12479999999999999</v>
      </c>
      <c r="AB22" s="32">
        <f t="shared" si="4"/>
        <v>19800.118152524166</v>
      </c>
      <c r="AC22" s="32">
        <f t="shared" si="4"/>
        <v>19649.306243805746</v>
      </c>
      <c r="AD22" s="32">
        <f t="shared" si="4"/>
        <v>19799.719551282054</v>
      </c>
      <c r="AE22" s="32">
        <v>-611.18399999999997</v>
      </c>
      <c r="AF22" s="32">
        <v>-1319.0360000000001</v>
      </c>
      <c r="AG22" s="32">
        <v>-1104.7</v>
      </c>
      <c r="AH22" s="32">
        <v>-653.60699999999997</v>
      </c>
      <c r="AI22" s="32">
        <v>-1361.4590000000001</v>
      </c>
      <c r="AJ22" s="32">
        <v>-1147.1220000000001</v>
      </c>
      <c r="AK22" s="65">
        <v>-3.1199999999999999E-2</v>
      </c>
      <c r="AL22" s="65">
        <v>-6.4299999999999996E-2</v>
      </c>
      <c r="AM22" s="65">
        <v>-5.2499999999999998E-2</v>
      </c>
      <c r="AN22" s="65">
        <v>-2.9100000000000001E-2</v>
      </c>
      <c r="AO22" s="65">
        <v>-6.2300000000000001E-2</v>
      </c>
      <c r="AP22" s="65">
        <v>-5.0599999999999999E-2</v>
      </c>
      <c r="AQ22" s="32">
        <f t="shared" si="5"/>
        <v>21002.886597938144</v>
      </c>
      <c r="AR22" s="32">
        <f t="shared" si="5"/>
        <v>21172.327447833068</v>
      </c>
      <c r="AS22" s="32">
        <f t="shared" si="5"/>
        <v>21832.01581027668</v>
      </c>
      <c r="AT22" s="32">
        <v>2280.8029999999999</v>
      </c>
      <c r="AU22" s="32">
        <v>33.003</v>
      </c>
      <c r="AV22" s="31">
        <v>0</v>
      </c>
      <c r="AW22" s="32">
        <v>2280.8029999999999</v>
      </c>
      <c r="AX22" s="83">
        <v>169.232</v>
      </c>
    </row>
    <row r="23" spans="1:50" x14ac:dyDescent="0.25">
      <c r="A23" s="31">
        <v>14</v>
      </c>
      <c r="B23" s="70">
        <v>46</v>
      </c>
      <c r="C23" s="70" t="str">
        <f>IF($J$1="ENG","Privatbank","Приватбанк")</f>
        <v>Privatbank</v>
      </c>
      <c r="D23" s="31" t="str">
        <f>IF($J$1="ENG","State-owned banks","Банки з державною часткою")</f>
        <v>State-owned banks</v>
      </c>
      <c r="E23" s="32">
        <v>17888.588</v>
      </c>
      <c r="F23" s="32">
        <v>17569.379000000001</v>
      </c>
      <c r="G23" s="65">
        <v>0.17330000000000001</v>
      </c>
      <c r="H23" s="65">
        <v>0.1764</v>
      </c>
      <c r="I23" s="32">
        <f t="shared" si="1"/>
        <v>101409.22902494331</v>
      </c>
      <c r="J23" s="108" t="str">
        <f t="shared" si="2"/>
        <v>no</v>
      </c>
      <c r="K23" s="32">
        <v>19399.525000000001</v>
      </c>
      <c r="L23" s="32">
        <v>19365.988000000001</v>
      </c>
      <c r="M23" s="65">
        <v>0.1797</v>
      </c>
      <c r="N23" s="65">
        <v>0.18</v>
      </c>
      <c r="O23" s="32">
        <f t="shared" si="3"/>
        <v>107775.13888888891</v>
      </c>
      <c r="P23" s="32">
        <v>17800.383999999998</v>
      </c>
      <c r="Q23" s="32">
        <v>27420.255000000001</v>
      </c>
      <c r="R23" s="32">
        <v>38298.375</v>
      </c>
      <c r="S23" s="32">
        <v>26759.597000000002</v>
      </c>
      <c r="T23" s="32">
        <v>36379.468000000001</v>
      </c>
      <c r="U23" s="32">
        <v>47257.587</v>
      </c>
      <c r="V23" s="65">
        <v>0.32240000000000002</v>
      </c>
      <c r="W23" s="65">
        <v>0.43930000000000002</v>
      </c>
      <c r="X23" s="65">
        <v>0.56889999999999996</v>
      </c>
      <c r="Y23" s="65">
        <v>0.21440000000000001</v>
      </c>
      <c r="Z23" s="65">
        <v>0.33110000000000001</v>
      </c>
      <c r="AA23" s="65">
        <v>0.46110000000000001</v>
      </c>
      <c r="AB23" s="32">
        <f t="shared" si="4"/>
        <v>83024.179104477604</v>
      </c>
      <c r="AC23" s="32">
        <f t="shared" si="4"/>
        <v>82815.629719118093</v>
      </c>
      <c r="AD23" s="32">
        <f t="shared" si="4"/>
        <v>83058.718282368252</v>
      </c>
      <c r="AE23" s="32">
        <v>4847.6710000000003</v>
      </c>
      <c r="AF23" s="32">
        <v>4444.6170000000002</v>
      </c>
      <c r="AG23" s="32">
        <v>9610.9230000000007</v>
      </c>
      <c r="AH23" s="32">
        <v>9262.5679999999993</v>
      </c>
      <c r="AI23" s="32">
        <v>8456.4609999999993</v>
      </c>
      <c r="AJ23" s="32">
        <v>18570.135999999999</v>
      </c>
      <c r="AK23" s="65">
        <v>0.128</v>
      </c>
      <c r="AL23" s="65">
        <v>0.1212</v>
      </c>
      <c r="AM23" s="65">
        <v>0.2661</v>
      </c>
      <c r="AN23" s="65">
        <v>6.7000000000000004E-2</v>
      </c>
      <c r="AO23" s="65">
        <v>6.3700000000000007E-2</v>
      </c>
      <c r="AP23" s="65">
        <v>0.13769999999999999</v>
      </c>
      <c r="AQ23" s="32">
        <f t="shared" si="5"/>
        <v>72353.298507462692</v>
      </c>
      <c r="AR23" s="32">
        <f t="shared" si="5"/>
        <v>69774.20722135008</v>
      </c>
      <c r="AS23" s="32">
        <f t="shared" si="5"/>
        <v>69796.100217864936</v>
      </c>
      <c r="AT23" s="32">
        <v>0</v>
      </c>
      <c r="AU23" s="32">
        <v>0</v>
      </c>
      <c r="AV23" s="66">
        <v>0</v>
      </c>
      <c r="AW23" s="32">
        <v>0</v>
      </c>
      <c r="AX23" s="67">
        <v>0</v>
      </c>
    </row>
    <row r="24" spans="1:50" x14ac:dyDescent="0.25">
      <c r="A24" s="31">
        <v>15</v>
      </c>
      <c r="B24" s="70">
        <v>298</v>
      </c>
      <c r="C24" s="70" t="str">
        <f>IF($J$1="ENG","Procredit","Прокредит")</f>
        <v>Procredit</v>
      </c>
      <c r="D24" s="31" t="str">
        <f>IF($J$1="ENG","Foreign banks","Банки іноземних банківських груп")</f>
        <v>Foreign banks</v>
      </c>
      <c r="E24" s="32">
        <v>1509.0619999999999</v>
      </c>
      <c r="F24" s="32">
        <v>1944.123</v>
      </c>
      <c r="G24" s="65">
        <v>0.14369999999999999</v>
      </c>
      <c r="H24" s="65">
        <v>0.1116</v>
      </c>
      <c r="I24" s="32">
        <f t="shared" si="1"/>
        <v>13522.060931899639</v>
      </c>
      <c r="J24" s="108" t="str">
        <f t="shared" si="2"/>
        <v>no</v>
      </c>
      <c r="K24" s="32">
        <v>1509.0619999999999</v>
      </c>
      <c r="L24" s="32">
        <v>1918.242</v>
      </c>
      <c r="M24" s="65">
        <v>0.1421</v>
      </c>
      <c r="N24" s="65">
        <v>0.1118</v>
      </c>
      <c r="O24" s="32">
        <f t="shared" si="3"/>
        <v>13497.871198568873</v>
      </c>
      <c r="P24" s="32">
        <v>2810.3789999999999</v>
      </c>
      <c r="Q24" s="32">
        <v>3765.8220000000001</v>
      </c>
      <c r="R24" s="32">
        <v>4741.2809999999999</v>
      </c>
      <c r="S24" s="32">
        <v>2810.3789999999999</v>
      </c>
      <c r="T24" s="32">
        <v>3765.8220000000001</v>
      </c>
      <c r="U24" s="32">
        <v>4741.2809999999999</v>
      </c>
      <c r="V24" s="65">
        <v>0.20810000000000001</v>
      </c>
      <c r="W24" s="65">
        <v>0.2767</v>
      </c>
      <c r="X24" s="65">
        <v>0.34699999999999998</v>
      </c>
      <c r="Y24" s="65">
        <v>0.20810000000000001</v>
      </c>
      <c r="Z24" s="65">
        <v>0.2767</v>
      </c>
      <c r="AA24" s="65">
        <v>0.34699999999999998</v>
      </c>
      <c r="AB24" s="32">
        <f t="shared" si="4"/>
        <v>13504.944738106678</v>
      </c>
      <c r="AC24" s="32">
        <f t="shared" si="4"/>
        <v>13609.765088543549</v>
      </c>
      <c r="AD24" s="32">
        <f t="shared" si="4"/>
        <v>13663.63400576369</v>
      </c>
      <c r="AE24" s="32">
        <v>2400.6439999999998</v>
      </c>
      <c r="AF24" s="32">
        <v>3225.864</v>
      </c>
      <c r="AG24" s="32">
        <v>4137.3040000000001</v>
      </c>
      <c r="AH24" s="32">
        <v>2400.6439999999998</v>
      </c>
      <c r="AI24" s="32">
        <v>3225.864</v>
      </c>
      <c r="AJ24" s="32">
        <v>4137.3040000000001</v>
      </c>
      <c r="AK24" s="65">
        <v>0.16880000000000001</v>
      </c>
      <c r="AL24" s="65">
        <v>0.2235</v>
      </c>
      <c r="AM24" s="65">
        <v>0.28289999999999998</v>
      </c>
      <c r="AN24" s="65">
        <v>0.16880000000000001</v>
      </c>
      <c r="AO24" s="65">
        <v>0.2235</v>
      </c>
      <c r="AP24" s="65">
        <v>0.28289999999999998</v>
      </c>
      <c r="AQ24" s="32">
        <f t="shared" si="5"/>
        <v>14221.824644549761</v>
      </c>
      <c r="AR24" s="32">
        <f t="shared" si="5"/>
        <v>14433.395973154362</v>
      </c>
      <c r="AS24" s="32">
        <f t="shared" si="5"/>
        <v>14624.616472251681</v>
      </c>
      <c r="AT24" s="32">
        <v>0</v>
      </c>
      <c r="AU24" s="32">
        <v>0</v>
      </c>
      <c r="AV24" s="31">
        <v>0</v>
      </c>
      <c r="AW24" s="32">
        <v>0</v>
      </c>
      <c r="AX24" s="31">
        <v>0</v>
      </c>
    </row>
    <row r="25" spans="1:50" x14ac:dyDescent="0.25">
      <c r="A25" s="31">
        <v>16</v>
      </c>
      <c r="B25" s="70">
        <v>3</v>
      </c>
      <c r="C25" s="70" t="str">
        <f>IF($J$1="ENG","Prominvestbank","Промінвестбанк")</f>
        <v>Prominvestbank</v>
      </c>
      <c r="D25" s="31" t="str">
        <f>IF($J$1="ENG","Banks owned by Russia","Банки з державним російським капіталом")</f>
        <v>Banks owned by Russia</v>
      </c>
      <c r="E25" s="32">
        <v>3139.4450000000002</v>
      </c>
      <c r="F25" s="32">
        <v>3945.9949999999999</v>
      </c>
      <c r="G25" s="65">
        <v>0.1575</v>
      </c>
      <c r="H25" s="65">
        <v>0.12529999999999999</v>
      </c>
      <c r="I25" s="32">
        <f t="shared" si="1"/>
        <v>25055.426975259379</v>
      </c>
      <c r="J25" s="108" t="str">
        <f t="shared" si="2"/>
        <v>no</v>
      </c>
      <c r="K25" s="32">
        <v>2235.8620000000001</v>
      </c>
      <c r="L25" s="32">
        <v>2997.27</v>
      </c>
      <c r="M25" s="65">
        <v>0.1237</v>
      </c>
      <c r="N25" s="65">
        <v>9.2299999999999993E-2</v>
      </c>
      <c r="O25" s="32">
        <f t="shared" si="3"/>
        <v>24223.856988082342</v>
      </c>
      <c r="P25" s="32">
        <v>1565.3910000000001</v>
      </c>
      <c r="Q25" s="32">
        <v>1298.0999999999999</v>
      </c>
      <c r="R25" s="32">
        <v>1314.229</v>
      </c>
      <c r="S25" s="32">
        <v>2326.799</v>
      </c>
      <c r="T25" s="32">
        <v>2059.5079999999998</v>
      </c>
      <c r="U25" s="32">
        <v>2075.6370000000002</v>
      </c>
      <c r="V25" s="65">
        <v>0.10249999999999999</v>
      </c>
      <c r="W25" s="65">
        <v>9.0800000000000006E-2</v>
      </c>
      <c r="X25" s="65">
        <v>9.0800000000000006E-2</v>
      </c>
      <c r="Y25" s="65">
        <v>6.9000000000000006E-2</v>
      </c>
      <c r="Z25" s="65">
        <v>5.7200000000000001E-2</v>
      </c>
      <c r="AA25" s="65">
        <v>5.7500000000000002E-2</v>
      </c>
      <c r="AB25" s="32">
        <f t="shared" si="4"/>
        <v>22686.82608695652</v>
      </c>
      <c r="AC25" s="32">
        <f t="shared" si="4"/>
        <v>22694.055944055941</v>
      </c>
      <c r="AD25" s="32">
        <f t="shared" si="4"/>
        <v>22856.156521739129</v>
      </c>
      <c r="AE25" s="32">
        <v>483.322</v>
      </c>
      <c r="AF25" s="32">
        <v>-120.536</v>
      </c>
      <c r="AG25" s="32">
        <v>-135.084</v>
      </c>
      <c r="AH25" s="32">
        <v>965.46500000000003</v>
      </c>
      <c r="AI25" s="32">
        <v>-121.714</v>
      </c>
      <c r="AJ25" s="32">
        <v>-136.262</v>
      </c>
      <c r="AK25" s="65">
        <v>4.6899999999999997E-2</v>
      </c>
      <c r="AL25" s="65">
        <v>-6.1000000000000004E-3</v>
      </c>
      <c r="AM25" s="65">
        <v>-6.8999999999999999E-3</v>
      </c>
      <c r="AN25" s="65">
        <v>2.35E-2</v>
      </c>
      <c r="AO25" s="65">
        <v>-6.1000000000000004E-3</v>
      </c>
      <c r="AP25" s="65">
        <v>-6.8999999999999999E-3</v>
      </c>
      <c r="AQ25" s="32">
        <f t="shared" si="5"/>
        <v>20566.893617021276</v>
      </c>
      <c r="AR25" s="32">
        <f t="shared" si="5"/>
        <v>19760</v>
      </c>
      <c r="AS25" s="32">
        <f t="shared" si="5"/>
        <v>19577.391304347828</v>
      </c>
      <c r="AT25" s="32">
        <v>945.59500000000003</v>
      </c>
      <c r="AU25" s="32">
        <v>23.617999999999999</v>
      </c>
      <c r="AV25" s="32">
        <v>0</v>
      </c>
      <c r="AW25" s="32">
        <v>945.59500000000003</v>
      </c>
      <c r="AX25" s="88">
        <v>598.87800000000004</v>
      </c>
    </row>
    <row r="26" spans="1:50" x14ac:dyDescent="0.25">
      <c r="A26" s="31">
        <v>17</v>
      </c>
      <c r="B26" s="70">
        <v>115</v>
      </c>
      <c r="C26" s="70" t="str">
        <f>IF($J$1="ENG","FUIB","ПУМБ")</f>
        <v>FUIB</v>
      </c>
      <c r="D26" s="31" t="str">
        <f>IF($J$1="ENG","Private banks","Банки з приватним капіталом")</f>
        <v>Private banks</v>
      </c>
      <c r="E26" s="32">
        <v>2798.998</v>
      </c>
      <c r="F26" s="32">
        <v>3519.3870000000002</v>
      </c>
      <c r="G26" s="65">
        <v>0.1176</v>
      </c>
      <c r="H26" s="65">
        <v>9.3600000000000003E-2</v>
      </c>
      <c r="I26" s="32">
        <f t="shared" si="1"/>
        <v>29903.824786324785</v>
      </c>
      <c r="J26" s="108" t="str">
        <f t="shared" si="2"/>
        <v>no</v>
      </c>
      <c r="K26" s="32">
        <v>2256.373</v>
      </c>
      <c r="L26" s="32">
        <v>2976.7620000000002</v>
      </c>
      <c r="M26" s="65">
        <v>0.10150000000000001</v>
      </c>
      <c r="N26" s="65">
        <v>7.6899999999999996E-2</v>
      </c>
      <c r="O26" s="32">
        <f t="shared" si="3"/>
        <v>29341.651495448637</v>
      </c>
      <c r="P26" s="32">
        <v>2189.3560000000002</v>
      </c>
      <c r="Q26" s="32">
        <v>4108.1239999999998</v>
      </c>
      <c r="R26" s="32">
        <v>6446.9719999999998</v>
      </c>
      <c r="S26" s="32">
        <v>2813.2860000000001</v>
      </c>
      <c r="T26" s="32">
        <v>4635.5929999999998</v>
      </c>
      <c r="U26" s="32">
        <v>6877.982</v>
      </c>
      <c r="V26" s="65">
        <v>0.1065</v>
      </c>
      <c r="W26" s="65">
        <v>0.1769</v>
      </c>
      <c r="X26" s="65">
        <v>0.2611</v>
      </c>
      <c r="Y26" s="65">
        <v>8.2900000000000001E-2</v>
      </c>
      <c r="Z26" s="65">
        <v>0.15679999999999999</v>
      </c>
      <c r="AA26" s="65">
        <v>0.2447</v>
      </c>
      <c r="AB26" s="32">
        <f t="shared" si="4"/>
        <v>26409.601930036191</v>
      </c>
      <c r="AC26" s="32">
        <f t="shared" si="4"/>
        <v>26199.770408163266</v>
      </c>
      <c r="AD26" s="32">
        <f t="shared" si="4"/>
        <v>26346.432366162648</v>
      </c>
      <c r="AE26" s="32">
        <v>-1300.1969999999999</v>
      </c>
      <c r="AF26" s="32">
        <v>-835.346</v>
      </c>
      <c r="AG26" s="32">
        <v>1091.6959999999999</v>
      </c>
      <c r="AH26" s="32">
        <v>-1306.953</v>
      </c>
      <c r="AI26" s="32">
        <v>-842.10199999999998</v>
      </c>
      <c r="AJ26" s="32">
        <v>1522.7049999999999</v>
      </c>
      <c r="AK26" s="65">
        <v>-4.9200000000000001E-2</v>
      </c>
      <c r="AL26" s="65">
        <v>-3.2599999999999997E-2</v>
      </c>
      <c r="AM26" s="65">
        <v>5.79E-2</v>
      </c>
      <c r="AN26" s="65">
        <v>-4.8899999999999999E-2</v>
      </c>
      <c r="AO26" s="65">
        <v>-3.2399999999999998E-2</v>
      </c>
      <c r="AP26" s="65">
        <v>4.1500000000000002E-2</v>
      </c>
      <c r="AQ26" s="32">
        <f t="shared" si="5"/>
        <v>26588.895705521471</v>
      </c>
      <c r="AR26" s="32">
        <f t="shared" si="5"/>
        <v>25782.283950617286</v>
      </c>
      <c r="AS26" s="32">
        <f t="shared" si="5"/>
        <v>26305.927710843371</v>
      </c>
      <c r="AT26" s="32">
        <v>2230.8209999999999</v>
      </c>
      <c r="AU26" s="32">
        <v>0</v>
      </c>
      <c r="AV26" s="66">
        <v>0</v>
      </c>
      <c r="AW26" s="32">
        <v>2230.8209999999999</v>
      </c>
      <c r="AX26" s="31">
        <v>0</v>
      </c>
    </row>
    <row r="27" spans="1:50" x14ac:dyDescent="0.25">
      <c r="A27" s="31">
        <v>18</v>
      </c>
      <c r="B27" s="70">
        <v>36</v>
      </c>
      <c r="C27" s="70" t="str">
        <f>IF($J$1="ENG","Raiffeisen Bank Aval","Райффайзен Банк Аваль")</f>
        <v>Raiffeisen Bank Aval</v>
      </c>
      <c r="D27" s="31" t="str">
        <f>IF($J$1="ENG","Foreign banks","Банки іноземних банківських груп")</f>
        <v>Foreign banks</v>
      </c>
      <c r="E27" s="32">
        <v>5138.7039999999997</v>
      </c>
      <c r="F27" s="32">
        <v>9488.384</v>
      </c>
      <c r="G27" s="65">
        <v>0.1948</v>
      </c>
      <c r="H27" s="65">
        <v>0.1055</v>
      </c>
      <c r="I27" s="32">
        <f t="shared" si="1"/>
        <v>48708.09478672986</v>
      </c>
      <c r="J27" s="108" t="str">
        <f t="shared" si="2"/>
        <v>no</v>
      </c>
      <c r="K27" s="32">
        <v>5138.7030000000004</v>
      </c>
      <c r="L27" s="32">
        <v>9322.0930000000008</v>
      </c>
      <c r="M27" s="65">
        <v>0.191</v>
      </c>
      <c r="N27" s="65">
        <v>0.1057</v>
      </c>
      <c r="O27" s="32">
        <f t="shared" si="3"/>
        <v>48615.922421948912</v>
      </c>
      <c r="P27" s="32">
        <v>9740.9959999999992</v>
      </c>
      <c r="Q27" s="32">
        <v>14837.748</v>
      </c>
      <c r="R27" s="32">
        <v>19940.624</v>
      </c>
      <c r="S27" s="32">
        <v>10158.528</v>
      </c>
      <c r="T27" s="32">
        <v>15255.28</v>
      </c>
      <c r="U27" s="32">
        <v>20358.155999999999</v>
      </c>
      <c r="V27" s="65">
        <v>0.20830000000000001</v>
      </c>
      <c r="W27" s="65">
        <v>0.31080000000000002</v>
      </c>
      <c r="X27" s="65">
        <v>0.41370000000000001</v>
      </c>
      <c r="Y27" s="65">
        <v>0.19980000000000001</v>
      </c>
      <c r="Z27" s="65">
        <v>0.30230000000000001</v>
      </c>
      <c r="AA27" s="65">
        <v>0.4052</v>
      </c>
      <c r="AB27" s="32">
        <f t="shared" si="4"/>
        <v>48753.73373373373</v>
      </c>
      <c r="AC27" s="32">
        <f t="shared" si="4"/>
        <v>49082.858087992056</v>
      </c>
      <c r="AD27" s="32">
        <f t="shared" si="4"/>
        <v>49211.806515301083</v>
      </c>
      <c r="AE27" s="32">
        <v>9331.6119999999992</v>
      </c>
      <c r="AF27" s="32">
        <v>14367.615</v>
      </c>
      <c r="AG27" s="32">
        <v>19657.807000000001</v>
      </c>
      <c r="AH27" s="32">
        <v>9754.0709999999999</v>
      </c>
      <c r="AI27" s="32">
        <v>14790.074000000001</v>
      </c>
      <c r="AJ27" s="32">
        <v>20080.266</v>
      </c>
      <c r="AK27" s="65">
        <v>0.19170000000000001</v>
      </c>
      <c r="AL27" s="65">
        <v>0.28749999999999998</v>
      </c>
      <c r="AM27" s="65">
        <v>0.38500000000000001</v>
      </c>
      <c r="AN27" s="65">
        <v>0.18340000000000001</v>
      </c>
      <c r="AO27" s="65">
        <v>0.27929999999999999</v>
      </c>
      <c r="AP27" s="65">
        <v>0.37690000000000001</v>
      </c>
      <c r="AQ27" s="32">
        <f t="shared" si="5"/>
        <v>50881.19956379498</v>
      </c>
      <c r="AR27" s="32">
        <f t="shared" si="5"/>
        <v>51441.514500537058</v>
      </c>
      <c r="AS27" s="32">
        <f t="shared" si="5"/>
        <v>52156.558768904222</v>
      </c>
      <c r="AT27" s="32">
        <v>0</v>
      </c>
      <c r="AU27" s="32">
        <v>0</v>
      </c>
      <c r="AV27" s="31">
        <v>0</v>
      </c>
      <c r="AW27" s="32">
        <v>0</v>
      </c>
      <c r="AX27" s="31">
        <v>0</v>
      </c>
    </row>
    <row r="28" spans="1:50" x14ac:dyDescent="0.25">
      <c r="A28" s="31">
        <v>19</v>
      </c>
      <c r="B28" s="70">
        <v>299</v>
      </c>
      <c r="C28" s="70" t="str">
        <f>IF($J$1="ENG","Sberbank","Сбербанк")</f>
        <v>Sberbank</v>
      </c>
      <c r="D28" s="31" t="str">
        <f>IF($J$1="ENG","Banks owned by Russia","Банки з державним російським капіталом")</f>
        <v>Banks owned by Russia</v>
      </c>
      <c r="E28" s="32">
        <v>4740.2</v>
      </c>
      <c r="F28" s="32">
        <v>5360.7209999999995</v>
      </c>
      <c r="G28" s="65">
        <v>0.14169999999999999</v>
      </c>
      <c r="H28" s="65">
        <v>0.12529999999999999</v>
      </c>
      <c r="I28" s="32">
        <f t="shared" si="1"/>
        <v>37830.806065442936</v>
      </c>
      <c r="J28" s="108" t="str">
        <f t="shared" si="2"/>
        <v>no</v>
      </c>
      <c r="K28" s="32">
        <v>4735.2</v>
      </c>
      <c r="L28" s="32">
        <v>4851.6229999999996</v>
      </c>
      <c r="M28" s="65">
        <v>0.12939999999999999</v>
      </c>
      <c r="N28" s="65">
        <v>0.1263</v>
      </c>
      <c r="O28" s="32">
        <f t="shared" si="3"/>
        <v>37491.686460807599</v>
      </c>
      <c r="P28" s="32">
        <v>5729.4579999999996</v>
      </c>
      <c r="Q28" s="32">
        <v>5539.085</v>
      </c>
      <c r="R28" s="32">
        <v>7162.2060000000001</v>
      </c>
      <c r="S28" s="32">
        <v>5845.8819999999996</v>
      </c>
      <c r="T28" s="32">
        <v>5655.509</v>
      </c>
      <c r="U28" s="32">
        <v>7278.63</v>
      </c>
      <c r="V28" s="65">
        <v>0.15659999999999999</v>
      </c>
      <c r="W28" s="65">
        <v>0.15759999999999999</v>
      </c>
      <c r="X28" s="65">
        <v>0.19980000000000001</v>
      </c>
      <c r="Y28" s="65">
        <v>0.1535</v>
      </c>
      <c r="Z28" s="65">
        <v>0.15429999999999999</v>
      </c>
      <c r="AA28" s="65">
        <v>0.1966</v>
      </c>
      <c r="AB28" s="32">
        <f t="shared" si="4"/>
        <v>37325.459283387623</v>
      </c>
      <c r="AC28" s="32">
        <f t="shared" si="4"/>
        <v>35898.152948801042</v>
      </c>
      <c r="AD28" s="32">
        <f t="shared" si="4"/>
        <v>36430.345879959306</v>
      </c>
      <c r="AE28" s="32">
        <v>1879.855</v>
      </c>
      <c r="AF28" s="32">
        <v>64.593999999999994</v>
      </c>
      <c r="AG28" s="32">
        <v>1078.652</v>
      </c>
      <c r="AH28" s="32">
        <v>1996.278</v>
      </c>
      <c r="AI28" s="32">
        <v>129.18799999999999</v>
      </c>
      <c r="AJ28" s="32">
        <v>1195.075</v>
      </c>
      <c r="AK28" s="65">
        <v>5.2400000000000002E-2</v>
      </c>
      <c r="AL28" s="65">
        <v>3.5999999999999999E-3</v>
      </c>
      <c r="AM28" s="65">
        <v>3.2800000000000003E-2</v>
      </c>
      <c r="AN28" s="65">
        <v>4.9299999999999997E-2</v>
      </c>
      <c r="AO28" s="65">
        <v>1.8E-3</v>
      </c>
      <c r="AP28" s="65">
        <v>2.9600000000000001E-2</v>
      </c>
      <c r="AQ28" s="32">
        <f t="shared" si="5"/>
        <v>38130.933062880329</v>
      </c>
      <c r="AR28" s="32">
        <f t="shared" si="5"/>
        <v>35885.555555555555</v>
      </c>
      <c r="AS28" s="32">
        <f t="shared" si="5"/>
        <v>36440.945945945947</v>
      </c>
      <c r="AT28" s="32">
        <v>1631.1369999999999</v>
      </c>
      <c r="AU28" s="32">
        <v>0</v>
      </c>
      <c r="AV28" s="31">
        <v>0</v>
      </c>
      <c r="AW28" s="32">
        <v>1631.1369999999999</v>
      </c>
      <c r="AX28" s="31">
        <v>0</v>
      </c>
    </row>
    <row r="29" spans="1:50" x14ac:dyDescent="0.25">
      <c r="A29" s="31">
        <v>20</v>
      </c>
      <c r="B29" s="70">
        <v>62</v>
      </c>
      <c r="C29" s="70" t="str">
        <f>IF($J$1="ENG","Taskombank","Таскомбанк")</f>
        <v>Taskombank</v>
      </c>
      <c r="D29" s="31" t="str">
        <f>IF($J$1="ENG","Private banks","Банки з приватним капіталом")</f>
        <v>Private banks</v>
      </c>
      <c r="E29" s="32">
        <v>734.86199999999997</v>
      </c>
      <c r="F29" s="32">
        <v>1213.405</v>
      </c>
      <c r="G29" s="65">
        <v>0.113</v>
      </c>
      <c r="H29" s="65">
        <v>6.8500000000000005E-2</v>
      </c>
      <c r="I29" s="32">
        <f t="shared" si="1"/>
        <v>10727.912408759123</v>
      </c>
      <c r="J29" s="108" t="str">
        <f t="shared" si="2"/>
        <v>no</v>
      </c>
      <c r="K29" s="32">
        <v>734.86199999999997</v>
      </c>
      <c r="L29" s="32">
        <v>1179.2819999999999</v>
      </c>
      <c r="M29" s="65">
        <v>0.1101</v>
      </c>
      <c r="N29" s="65">
        <v>6.8599999999999994E-2</v>
      </c>
      <c r="O29" s="32">
        <f t="shared" si="3"/>
        <v>10712.274052478135</v>
      </c>
      <c r="P29" s="32">
        <v>1381.6669999999999</v>
      </c>
      <c r="Q29" s="32">
        <v>1968.6179999999999</v>
      </c>
      <c r="R29" s="32">
        <v>2578.8339999999998</v>
      </c>
      <c r="S29" s="32">
        <v>1739.867</v>
      </c>
      <c r="T29" s="32">
        <v>2332.8110000000001</v>
      </c>
      <c r="U29" s="32">
        <v>2946.0239999999999</v>
      </c>
      <c r="V29" s="65">
        <v>0.16200000000000001</v>
      </c>
      <c r="W29" s="65">
        <v>0.21540000000000001</v>
      </c>
      <c r="X29" s="65">
        <v>0.27100000000000002</v>
      </c>
      <c r="Y29" s="65">
        <v>0.12870000000000001</v>
      </c>
      <c r="Z29" s="65">
        <v>0.18179999999999999</v>
      </c>
      <c r="AA29" s="65">
        <v>0.23719999999999999</v>
      </c>
      <c r="AB29" s="32">
        <f t="shared" si="4"/>
        <v>10735.563325563324</v>
      </c>
      <c r="AC29" s="32">
        <f t="shared" si="4"/>
        <v>10828.48184818482</v>
      </c>
      <c r="AD29" s="32">
        <f t="shared" si="4"/>
        <v>10871.98145025295</v>
      </c>
      <c r="AE29" s="32">
        <v>813.27800000000002</v>
      </c>
      <c r="AF29" s="32">
        <v>1100.972</v>
      </c>
      <c r="AG29" s="32">
        <v>1568.4169999999999</v>
      </c>
      <c r="AH29" s="32">
        <v>1257.3779999999999</v>
      </c>
      <c r="AI29" s="32">
        <v>1572.04</v>
      </c>
      <c r="AJ29" s="32">
        <v>2060.4609999999998</v>
      </c>
      <c r="AK29" s="65">
        <v>0.1101</v>
      </c>
      <c r="AL29" s="65">
        <v>0.13519999999999999</v>
      </c>
      <c r="AM29" s="65">
        <v>0.17419999999999999</v>
      </c>
      <c r="AN29" s="65">
        <v>7.1199999999999999E-2</v>
      </c>
      <c r="AO29" s="65">
        <v>9.4700000000000006E-2</v>
      </c>
      <c r="AP29" s="65">
        <v>0.1326</v>
      </c>
      <c r="AQ29" s="32">
        <f t="shared" si="5"/>
        <v>11422.44382022472</v>
      </c>
      <c r="AR29" s="32">
        <f t="shared" si="5"/>
        <v>11625.892291446673</v>
      </c>
      <c r="AS29" s="32">
        <f t="shared" si="5"/>
        <v>11828.182503770739</v>
      </c>
      <c r="AT29" s="32">
        <v>0</v>
      </c>
      <c r="AU29" s="32">
        <v>0</v>
      </c>
      <c r="AV29" s="66">
        <v>0</v>
      </c>
      <c r="AW29" s="32">
        <v>0</v>
      </c>
      <c r="AX29" s="31">
        <v>0</v>
      </c>
    </row>
    <row r="30" spans="1:50" x14ac:dyDescent="0.25">
      <c r="A30" s="31">
        <v>21</v>
      </c>
      <c r="B30" s="70">
        <v>274</v>
      </c>
      <c r="C30" s="70" t="str">
        <f>IF($J$1="ENG","Ukrgasbank","Укргазбанк")</f>
        <v>Ukrgasbank</v>
      </c>
      <c r="D30" s="31" t="str">
        <f>IF($J$1="ENG","State-owned banks","Банки з державною часткою")</f>
        <v>State-owned banks</v>
      </c>
      <c r="E30" s="32">
        <v>5142.6620000000003</v>
      </c>
      <c r="F30" s="32">
        <v>5309.6869999999999</v>
      </c>
      <c r="G30" s="65">
        <v>0.13980000000000001</v>
      </c>
      <c r="H30" s="65">
        <v>0.13539999999999999</v>
      </c>
      <c r="I30" s="32">
        <f t="shared" si="1"/>
        <v>37981.255539143283</v>
      </c>
      <c r="J30" s="108" t="str">
        <f t="shared" si="2"/>
        <v>no</v>
      </c>
      <c r="K30" s="32">
        <v>5067.8410000000003</v>
      </c>
      <c r="L30" s="32">
        <v>5228.9309999999996</v>
      </c>
      <c r="M30" s="65">
        <v>0.13819999999999999</v>
      </c>
      <c r="N30" s="65">
        <v>0.13400000000000001</v>
      </c>
      <c r="O30" s="32">
        <f t="shared" si="3"/>
        <v>37819.708955223883</v>
      </c>
      <c r="P30" s="32">
        <v>5620.3</v>
      </c>
      <c r="Q30" s="32">
        <v>7020.8090000000002</v>
      </c>
      <c r="R30" s="32">
        <v>8526.0709999999999</v>
      </c>
      <c r="S30" s="32">
        <v>5766.8040000000001</v>
      </c>
      <c r="T30" s="32">
        <v>7167.3130000000001</v>
      </c>
      <c r="U30" s="32">
        <v>8672.5750000000007</v>
      </c>
      <c r="V30" s="65">
        <v>0.1552</v>
      </c>
      <c r="W30" s="65">
        <v>0.19189999999999999</v>
      </c>
      <c r="X30" s="65">
        <v>0.23169999999999999</v>
      </c>
      <c r="Y30" s="65">
        <v>0.1512</v>
      </c>
      <c r="Z30" s="65">
        <v>0.188</v>
      </c>
      <c r="AA30" s="65">
        <v>0.2278</v>
      </c>
      <c r="AB30" s="32">
        <f t="shared" si="4"/>
        <v>37171.296296296299</v>
      </c>
      <c r="AC30" s="32">
        <f t="shared" si="4"/>
        <v>37344.72872340426</v>
      </c>
      <c r="AD30" s="32">
        <f t="shared" si="4"/>
        <v>37427.879719051802</v>
      </c>
      <c r="AE30" s="32">
        <v>3045.529</v>
      </c>
      <c r="AF30" s="32">
        <v>3134.4969999999998</v>
      </c>
      <c r="AG30" s="32">
        <v>4105.4210000000003</v>
      </c>
      <c r="AH30" s="32">
        <v>3198.2130000000002</v>
      </c>
      <c r="AI30" s="32">
        <v>3287.181</v>
      </c>
      <c r="AJ30" s="32">
        <v>4258.1059999999998</v>
      </c>
      <c r="AK30" s="65">
        <v>8.1699999999999995E-2</v>
      </c>
      <c r="AL30" s="65">
        <v>8.2799999999999999E-2</v>
      </c>
      <c r="AM30" s="65">
        <v>0.10589999999999999</v>
      </c>
      <c r="AN30" s="65">
        <v>7.7799999999999994E-2</v>
      </c>
      <c r="AO30" s="65">
        <v>7.9000000000000001E-2</v>
      </c>
      <c r="AP30" s="65">
        <v>0.1021</v>
      </c>
      <c r="AQ30" s="32">
        <f t="shared" si="5"/>
        <v>39145.616966580979</v>
      </c>
      <c r="AR30" s="32">
        <f t="shared" si="5"/>
        <v>39677.177215189869</v>
      </c>
      <c r="AS30" s="32">
        <f t="shared" si="5"/>
        <v>40209.804113614111</v>
      </c>
      <c r="AT30" s="32">
        <v>0</v>
      </c>
      <c r="AU30" s="32">
        <v>0</v>
      </c>
      <c r="AV30" s="31">
        <v>0</v>
      </c>
      <c r="AW30" s="32">
        <v>0</v>
      </c>
      <c r="AX30" s="31">
        <v>0</v>
      </c>
    </row>
    <row r="31" spans="1:50" x14ac:dyDescent="0.25">
      <c r="A31" s="31">
        <v>22</v>
      </c>
      <c r="B31" s="70">
        <v>2</v>
      </c>
      <c r="C31" s="70" t="str">
        <f>IF($J$1="ENG","Ukreximbank","Укрексімбанк")</f>
        <v>Ukreximbank</v>
      </c>
      <c r="D31" s="31" t="str">
        <f>IF($J$1="ENG","State-owned banks","Банки з державною часткою")</f>
        <v>State-owned banks</v>
      </c>
      <c r="E31" s="32">
        <v>6223.2929999999997</v>
      </c>
      <c r="F31" s="32">
        <v>10359.601000000001</v>
      </c>
      <c r="G31" s="65">
        <v>0.1391</v>
      </c>
      <c r="H31" s="65">
        <v>8.3599999999999994E-2</v>
      </c>
      <c r="I31" s="32">
        <f t="shared" si="1"/>
        <v>74441.303827751195</v>
      </c>
      <c r="J31" s="108" t="str">
        <f t="shared" si="2"/>
        <v>no</v>
      </c>
      <c r="K31" s="32">
        <v>5590.0780000000004</v>
      </c>
      <c r="L31" s="32">
        <v>9434.2559999999994</v>
      </c>
      <c r="M31" s="65">
        <v>0.12690000000000001</v>
      </c>
      <c r="N31" s="65">
        <v>7.5200000000000003E-2</v>
      </c>
      <c r="O31" s="32">
        <f t="shared" si="3"/>
        <v>74336.143617021284</v>
      </c>
      <c r="P31" s="32">
        <v>7118.6869999999999</v>
      </c>
      <c r="Q31" s="32">
        <v>9327.83</v>
      </c>
      <c r="R31" s="32">
        <v>11673.092000000001</v>
      </c>
      <c r="S31" s="32">
        <v>11088.466</v>
      </c>
      <c r="T31" s="32">
        <v>12643.374</v>
      </c>
      <c r="U31" s="32">
        <v>14281.96</v>
      </c>
      <c r="V31" s="65">
        <v>0.1502</v>
      </c>
      <c r="W31" s="65">
        <v>0.17069999999999999</v>
      </c>
      <c r="X31" s="65">
        <v>0.19170000000000001</v>
      </c>
      <c r="Y31" s="65">
        <v>9.64E-2</v>
      </c>
      <c r="Z31" s="65">
        <v>0.12590000000000001</v>
      </c>
      <c r="AA31" s="65">
        <v>0.15670000000000001</v>
      </c>
      <c r="AB31" s="32">
        <f t="shared" si="4"/>
        <v>73845.300829875516</v>
      </c>
      <c r="AC31" s="32">
        <f t="shared" si="4"/>
        <v>74089.197776012705</v>
      </c>
      <c r="AD31" s="32">
        <f t="shared" si="4"/>
        <v>74493.248245054245</v>
      </c>
      <c r="AE31" s="32">
        <v>-5557.3149999999996</v>
      </c>
      <c r="AF31" s="32">
        <v>-8129.5519999999997</v>
      </c>
      <c r="AG31" s="32">
        <v>-7567.183</v>
      </c>
      <c r="AH31" s="32">
        <v>-5562.8909999999996</v>
      </c>
      <c r="AI31" s="32">
        <v>-8135.1289999999999</v>
      </c>
      <c r="AJ31" s="32">
        <v>-7572.759</v>
      </c>
      <c r="AK31" s="65">
        <v>-7.4700000000000003E-2</v>
      </c>
      <c r="AL31" s="65">
        <v>-0.1091</v>
      </c>
      <c r="AM31" s="65">
        <v>-0.1011</v>
      </c>
      <c r="AN31" s="65">
        <v>-7.4700000000000003E-2</v>
      </c>
      <c r="AO31" s="65">
        <v>-0.109</v>
      </c>
      <c r="AP31" s="65">
        <v>-0.10100000000000001</v>
      </c>
      <c r="AQ31" s="32">
        <f t="shared" si="5"/>
        <v>74395.113788487273</v>
      </c>
      <c r="AR31" s="32">
        <f t="shared" si="5"/>
        <v>74583.045871559632</v>
      </c>
      <c r="AS31" s="32">
        <f t="shared" si="5"/>
        <v>74922.603960396038</v>
      </c>
      <c r="AT31" s="32">
        <v>10972.655000000001</v>
      </c>
      <c r="AU31" s="32">
        <v>0</v>
      </c>
      <c r="AV31" s="31">
        <v>0</v>
      </c>
      <c r="AW31" s="32">
        <v>10972.655000000001</v>
      </c>
      <c r="AX31" s="109">
        <v>0</v>
      </c>
    </row>
    <row r="32" spans="1:50" x14ac:dyDescent="0.25">
      <c r="A32" s="31">
        <v>23</v>
      </c>
      <c r="B32" s="70">
        <v>136</v>
      </c>
      <c r="C32" s="70" t="str">
        <f>IF($J$1="ENG","Ukrsibbank","УкрСиббанк")</f>
        <v>Ukrsibbank</v>
      </c>
      <c r="D32" s="31" t="str">
        <f>IF($J$1="ENG","Foreign banks","Банки іноземних банківських груп")</f>
        <v>Foreign banks</v>
      </c>
      <c r="E32" s="32">
        <v>3840.268</v>
      </c>
      <c r="F32" s="32">
        <v>6230.9840000000004</v>
      </c>
      <c r="G32" s="65">
        <v>0.22650000000000001</v>
      </c>
      <c r="H32" s="65">
        <v>0.1396</v>
      </c>
      <c r="I32" s="32">
        <f t="shared" si="1"/>
        <v>27509.083094555874</v>
      </c>
      <c r="J32" s="108" t="str">
        <f t="shared" si="2"/>
        <v>no</v>
      </c>
      <c r="K32" s="32">
        <v>3840.268</v>
      </c>
      <c r="L32" s="32">
        <v>6170.3429999999998</v>
      </c>
      <c r="M32" s="65">
        <v>0.22220000000000001</v>
      </c>
      <c r="N32" s="65">
        <v>0.13830000000000001</v>
      </c>
      <c r="O32" s="32">
        <f t="shared" si="3"/>
        <v>27767.664497469268</v>
      </c>
      <c r="P32" s="32">
        <v>4869.5240000000003</v>
      </c>
      <c r="Q32" s="32">
        <v>6109.2640000000001</v>
      </c>
      <c r="R32" s="32">
        <v>7406.4780000000001</v>
      </c>
      <c r="S32" s="32">
        <v>5303.4459999999999</v>
      </c>
      <c r="T32" s="32">
        <v>5912.982</v>
      </c>
      <c r="U32" s="32">
        <v>7148.8010000000004</v>
      </c>
      <c r="V32" s="65">
        <v>0.19339999999999999</v>
      </c>
      <c r="W32" s="65">
        <v>0.21529999999999999</v>
      </c>
      <c r="X32" s="65">
        <v>0.2601</v>
      </c>
      <c r="Y32" s="65">
        <v>0.17760000000000001</v>
      </c>
      <c r="Z32" s="65">
        <v>0.22239999999999999</v>
      </c>
      <c r="AA32" s="65">
        <v>0.26950000000000002</v>
      </c>
      <c r="AB32" s="32">
        <f t="shared" si="4"/>
        <v>27418.490990990991</v>
      </c>
      <c r="AC32" s="32">
        <f t="shared" si="4"/>
        <v>27469.712230215831</v>
      </c>
      <c r="AD32" s="32">
        <f t="shared" si="4"/>
        <v>27482.29313543599</v>
      </c>
      <c r="AE32" s="32">
        <v>4691.3829999999998</v>
      </c>
      <c r="AF32" s="32">
        <v>5960.6980000000003</v>
      </c>
      <c r="AG32" s="32">
        <v>7386.4759999999997</v>
      </c>
      <c r="AH32" s="32">
        <v>5333.268</v>
      </c>
      <c r="AI32" s="32">
        <v>5786.9129999999996</v>
      </c>
      <c r="AJ32" s="32">
        <v>7128.8</v>
      </c>
      <c r="AK32" s="65">
        <v>0.19500000000000001</v>
      </c>
      <c r="AL32" s="65">
        <v>0.2117</v>
      </c>
      <c r="AM32" s="65">
        <v>0.26019999999999999</v>
      </c>
      <c r="AN32" s="65">
        <v>0.1716</v>
      </c>
      <c r="AO32" s="65">
        <v>0.218</v>
      </c>
      <c r="AP32" s="65">
        <v>0.26960000000000001</v>
      </c>
      <c r="AQ32" s="32">
        <f t="shared" si="5"/>
        <v>27339.06177156177</v>
      </c>
      <c r="AR32" s="32">
        <f t="shared" si="5"/>
        <v>27342.65137614679</v>
      </c>
      <c r="AS32" s="32">
        <f t="shared" si="5"/>
        <v>27397.908011869433</v>
      </c>
      <c r="AT32" s="32">
        <v>0</v>
      </c>
      <c r="AU32" s="32">
        <v>0</v>
      </c>
      <c r="AV32" s="66">
        <v>0</v>
      </c>
      <c r="AW32" s="32">
        <v>0</v>
      </c>
      <c r="AX32" s="31">
        <v>0</v>
      </c>
    </row>
    <row r="33" spans="1:50" x14ac:dyDescent="0.25">
      <c r="A33" s="31">
        <v>24</v>
      </c>
      <c r="B33" s="70">
        <v>242</v>
      </c>
      <c r="C33" s="70" t="str">
        <f>IF($J$1="ENG","Universal","Універсал")</f>
        <v>Universal</v>
      </c>
      <c r="D33" s="31" t="str">
        <f>IF($J$1="ENG","Private banks","Банки з приватним капіталом")</f>
        <v>Private banks</v>
      </c>
      <c r="E33" s="32">
        <v>413.32600000000002</v>
      </c>
      <c r="F33" s="32">
        <v>413.32600000000002</v>
      </c>
      <c r="G33" s="65">
        <v>0.1459</v>
      </c>
      <c r="H33" s="65">
        <v>0.1459</v>
      </c>
      <c r="I33" s="32">
        <f t="shared" si="1"/>
        <v>2832.9403701165184</v>
      </c>
      <c r="J33" s="108" t="str">
        <f t="shared" si="2"/>
        <v>no</v>
      </c>
      <c r="K33" s="32">
        <v>-247.47900000000001</v>
      </c>
      <c r="L33" s="32">
        <v>-247.47900000000001</v>
      </c>
      <c r="M33" s="65">
        <v>-0.1114</v>
      </c>
      <c r="N33" s="65">
        <v>-0.1114</v>
      </c>
      <c r="O33" s="32">
        <f t="shared" si="3"/>
        <v>2221.5350089766607</v>
      </c>
      <c r="P33" s="32">
        <v>-229.15199999999999</v>
      </c>
      <c r="Q33" s="32">
        <v>-188.518</v>
      </c>
      <c r="R33" s="32">
        <v>-149.083</v>
      </c>
      <c r="S33" s="32">
        <v>-229.15199999999999</v>
      </c>
      <c r="T33" s="32">
        <v>-188.518</v>
      </c>
      <c r="U33" s="32">
        <v>-149.083</v>
      </c>
      <c r="V33" s="65">
        <v>-0.10580000000000001</v>
      </c>
      <c r="W33" s="65">
        <v>-8.8200000000000001E-2</v>
      </c>
      <c r="X33" s="65">
        <v>-7.0699999999999999E-2</v>
      </c>
      <c r="Y33" s="65">
        <v>-0.10580000000000001</v>
      </c>
      <c r="Z33" s="65">
        <v>-8.8200000000000001E-2</v>
      </c>
      <c r="AA33" s="65">
        <v>-7.0699999999999999E-2</v>
      </c>
      <c r="AB33" s="32">
        <f t="shared" si="4"/>
        <v>2165.8979206049148</v>
      </c>
      <c r="AC33" s="32">
        <f t="shared" si="4"/>
        <v>2137.3922902494332</v>
      </c>
      <c r="AD33" s="32">
        <f t="shared" si="4"/>
        <v>2108.6704384724185</v>
      </c>
      <c r="AE33" s="32">
        <v>-630.87</v>
      </c>
      <c r="AF33" s="32">
        <v>-736.15899999999999</v>
      </c>
      <c r="AG33" s="32">
        <v>-761.18499999999995</v>
      </c>
      <c r="AH33" s="32">
        <v>-630.87</v>
      </c>
      <c r="AI33" s="32">
        <v>-736.15899999999999</v>
      </c>
      <c r="AJ33" s="32">
        <v>-761.18499999999995</v>
      </c>
      <c r="AK33" s="65">
        <v>-0.31290000000000001</v>
      </c>
      <c r="AL33" s="65">
        <v>-0.38540000000000002</v>
      </c>
      <c r="AM33" s="65">
        <v>-0.4133</v>
      </c>
      <c r="AN33" s="65">
        <v>-0.31290000000000001</v>
      </c>
      <c r="AO33" s="65">
        <v>-0.38540000000000002</v>
      </c>
      <c r="AP33" s="65">
        <v>-0.4133</v>
      </c>
      <c r="AQ33" s="32">
        <f t="shared" si="5"/>
        <v>2016.2032598274209</v>
      </c>
      <c r="AR33" s="32">
        <f t="shared" si="5"/>
        <v>1910.1167618059158</v>
      </c>
      <c r="AS33" s="32">
        <f t="shared" si="5"/>
        <v>1841.7251391241227</v>
      </c>
      <c r="AT33" s="32">
        <v>853.39400000000001</v>
      </c>
      <c r="AU33" s="32">
        <v>469.55599999999998</v>
      </c>
      <c r="AV33" s="31">
        <v>0</v>
      </c>
      <c r="AW33" s="32">
        <v>853.39400000000001</v>
      </c>
      <c r="AX33" s="31">
        <v>0</v>
      </c>
    </row>
    <row r="34" spans="1:50" x14ac:dyDescent="0.25">
      <c r="AT34" s="69"/>
      <c r="AU34" s="69"/>
      <c r="AV34" s="69"/>
      <c r="AW34" s="69"/>
      <c r="AX34" s="69"/>
    </row>
    <row r="35" spans="1:50" x14ac:dyDescent="0.25">
      <c r="A35" s="29" t="str">
        <f>IF($J$1="ENG","Note:","Примітки:")</f>
        <v>Note:</v>
      </c>
      <c r="AT35" s="69"/>
      <c r="AU35" s="69"/>
      <c r="AV35" s="69"/>
      <c r="AW35" s="69"/>
      <c r="AX35" s="69"/>
    </row>
    <row r="36" spans="1:50" x14ac:dyDescent="0.25">
      <c r="A36" s="29" t="str">
        <f>IF($J$1="ENG","Foreign banks do not include banks with state Russian capital.","Банки іноземних банківських груп не виключають банки із державним російським капіталом.")</f>
        <v>Foreign banks do not include banks with state Russian capital.</v>
      </c>
      <c r="E36" s="69"/>
    </row>
    <row r="37" spans="1:50" x14ac:dyDescent="0.25">
      <c r="A37" s="29" t="str">
        <f>IF($J$1="ENG","","ОК - основний капітал, РК - регулятивний капітал.")</f>
        <v/>
      </c>
      <c r="E37" s="69"/>
    </row>
    <row r="38" spans="1:50" x14ac:dyDescent="0.25">
      <c r="E38" s="69"/>
    </row>
    <row r="39" spans="1:50" x14ac:dyDescent="0.25">
      <c r="A39" s="102" t="str">
        <f>IF($J$1="ENG","On 11 June, 2019 data on residual capital need for Ukreximbank were updated. The NBU verified measures taken and reports no capital need.","11 червня 2019 року оновлено дані щодо залишкової потреби капіталу для Укрексімбанку. З урахуванням верифікованих НБУ заходів потреба в капіталі відсутня.")</f>
        <v>On 11 June, 2019 data on residual capital need for Ukreximbank were updated. The NBU verified measures taken and reports no capital need.</v>
      </c>
      <c r="E39" s="69"/>
    </row>
    <row r="40" spans="1:50" x14ac:dyDescent="0.25">
      <c r="E40" s="69"/>
    </row>
    <row r="41" spans="1:50" x14ac:dyDescent="0.25">
      <c r="E41" s="69"/>
    </row>
    <row r="42" spans="1:50" x14ac:dyDescent="0.25">
      <c r="E42" s="69"/>
    </row>
    <row r="43" spans="1:50" x14ac:dyDescent="0.25">
      <c r="E43" s="69"/>
    </row>
    <row r="44" spans="1:50" x14ac:dyDescent="0.25">
      <c r="E44" s="69"/>
    </row>
    <row r="45" spans="1:50" x14ac:dyDescent="0.25">
      <c r="E45" s="69"/>
    </row>
    <row r="46" spans="1:50" x14ac:dyDescent="0.25">
      <c r="E46" s="69"/>
    </row>
  </sheetData>
  <sheetProtection password="E2D0" sheet="1" objects="1" scenarios="1"/>
  <mergeCells count="39">
    <mergeCell ref="AE4:AS5"/>
    <mergeCell ref="AT4:AX4"/>
    <mergeCell ref="AT5:AT8"/>
    <mergeCell ref="AU5:AX5"/>
    <mergeCell ref="Y6:AA6"/>
    <mergeCell ref="AB6:AD6"/>
    <mergeCell ref="AW6:AX6"/>
    <mergeCell ref="AX7:AX8"/>
    <mergeCell ref="AE6:AG6"/>
    <mergeCell ref="AH6:AJ6"/>
    <mergeCell ref="AK6:AM6"/>
    <mergeCell ref="AN6:AP6"/>
    <mergeCell ref="AQ6:AS6"/>
    <mergeCell ref="AU6:AV6"/>
    <mergeCell ref="AU7:AU8"/>
    <mergeCell ref="AV7:AV8"/>
    <mergeCell ref="P6:R6"/>
    <mergeCell ref="S6:U6"/>
    <mergeCell ref="V6:X6"/>
    <mergeCell ref="A4:A8"/>
    <mergeCell ref="B4:B8"/>
    <mergeCell ref="C4:C8"/>
    <mergeCell ref="D4:D8"/>
    <mergeCell ref="E4:I5"/>
    <mergeCell ref="E7:I8"/>
    <mergeCell ref="J7:O8"/>
    <mergeCell ref="J4:O5"/>
    <mergeCell ref="P4:AD5"/>
    <mergeCell ref="AW7:AW8"/>
    <mergeCell ref="P8:R8"/>
    <mergeCell ref="S8:U8"/>
    <mergeCell ref="V8:X8"/>
    <mergeCell ref="AQ8:AS8"/>
    <mergeCell ref="Y8:AA8"/>
    <mergeCell ref="AB8:AD8"/>
    <mergeCell ref="AE8:AG8"/>
    <mergeCell ref="AH8:AJ8"/>
    <mergeCell ref="AK8:AM8"/>
    <mergeCell ref="AN8:AP8"/>
  </mergeCells>
  <pageMargins left="0.7" right="0.7" top="0.75" bottom="0.75" header="0.3" footer="0.3"/>
  <pageSetup paperSize="9" orientation="portrait" r:id="rId1"/>
  <ignoredErrors>
    <ignoredError sqref="AV7:AW7 D11:D2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7</xdr:col>
                    <xdr:colOff>541020</xdr:colOff>
                    <xdr:row>0</xdr:row>
                    <xdr:rowOff>0</xdr:rowOff>
                  </from>
                  <to>
                    <xdr:col>10</xdr:col>
                    <xdr:colOff>30480</xdr:colOff>
                    <xdr:row>1</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Right="0"/>
    <pageSetUpPr fitToPage="1"/>
  </sheetPr>
  <dimension ref="A1:AW46"/>
  <sheetViews>
    <sheetView topLeftCell="D31" zoomScale="80" zoomScaleNormal="80" zoomScaleSheetLayoutView="85" workbookViewId="0">
      <selection activeCell="L46" sqref="L46"/>
    </sheetView>
  </sheetViews>
  <sheetFormatPr defaultRowHeight="14.4" outlineLevelCol="1" x14ac:dyDescent="0.3"/>
  <cols>
    <col min="1" max="1" width="8.44140625" hidden="1" customWidth="1"/>
    <col min="2" max="2" width="27.6640625" hidden="1" customWidth="1"/>
    <col min="3" max="3" width="4.6640625" hidden="1" customWidth="1"/>
    <col min="4" max="4" width="6" customWidth="1"/>
    <col min="5" max="5" width="33.44140625" customWidth="1"/>
    <col min="6" max="7" width="11.88671875" customWidth="1" outlineLevel="1"/>
    <col min="8" max="9" width="9.44140625" customWidth="1" outlineLevel="1"/>
    <col min="10" max="10" width="16" customWidth="1" outlineLevel="1"/>
    <col min="11" max="11" width="11.88671875" customWidth="1" outlineLevel="1"/>
    <col min="12" max="12" width="12.109375" customWidth="1" outlineLevel="1"/>
    <col min="13" max="14" width="10.44140625" customWidth="1" outlineLevel="1"/>
    <col min="15" max="15" width="12" customWidth="1" outlineLevel="1"/>
    <col min="16" max="16" width="12.33203125" customWidth="1" outlineLevel="1"/>
    <col min="17" max="20" width="13.44140625" customWidth="1" outlineLevel="1"/>
    <col min="21" max="26" width="10.44140625" customWidth="1" outlineLevel="1"/>
    <col min="27" max="27" width="14.5546875" customWidth="1" outlineLevel="1"/>
    <col min="28" max="28" width="12" customWidth="1" outlineLevel="1"/>
    <col min="29" max="29" width="12.109375" customWidth="1" outlineLevel="1"/>
    <col min="30" max="30" width="12.88671875" customWidth="1" outlineLevel="1"/>
    <col min="31" max="32" width="11.88671875" customWidth="1" outlineLevel="1"/>
    <col min="33" max="33" width="9.44140625" customWidth="1" outlineLevel="1"/>
    <col min="34" max="35" width="11.6640625" customWidth="1" outlineLevel="1"/>
    <col min="36" max="36" width="9.88671875" customWidth="1" outlineLevel="1"/>
    <col min="37" max="38" width="11.6640625" customWidth="1" outlineLevel="1"/>
    <col min="39" max="39" width="22.88671875" customWidth="1"/>
    <col min="40" max="41" width="21.109375" customWidth="1" outlineLevel="1"/>
    <col min="42" max="42" width="10.44140625" hidden="1" customWidth="1"/>
    <col min="43" max="43" width="0" hidden="1" customWidth="1"/>
    <col min="44" max="44" width="27.33203125" customWidth="1"/>
    <col min="45" max="46" width="26.33203125" customWidth="1" outlineLevel="1"/>
    <col min="47" max="48" width="24.33203125" customWidth="1" outlineLevel="1"/>
    <col min="49" max="49" width="24.44140625" customWidth="1" outlineLevel="1"/>
  </cols>
  <sheetData>
    <row r="1" spans="4:49" ht="18.600000000000001" hidden="1" thickBot="1" x14ac:dyDescent="0.35">
      <c r="D1" s="231"/>
      <c r="Y1" s="4" t="s">
        <v>39</v>
      </c>
    </row>
    <row r="2" spans="4:49" ht="18.600000000000001" hidden="1" thickBot="1" x14ac:dyDescent="0.35">
      <c r="D2" s="231"/>
      <c r="Y2" s="4" t="s">
        <v>40</v>
      </c>
    </row>
    <row r="3" spans="4:49" ht="18.600000000000001" hidden="1" thickBot="1" x14ac:dyDescent="0.35">
      <c r="D3" s="231"/>
      <c r="Y3" s="4" t="s">
        <v>41</v>
      </c>
    </row>
    <row r="4" spans="4:49" ht="18.600000000000001" hidden="1" thickBot="1" x14ac:dyDescent="0.35">
      <c r="D4" s="5" t="s">
        <v>42</v>
      </c>
    </row>
    <row r="5" spans="4:49" ht="18.600000000000001" hidden="1" thickBot="1" x14ac:dyDescent="0.35">
      <c r="D5" s="5"/>
    </row>
    <row r="6" spans="4:49" ht="18.600000000000001" hidden="1" thickBot="1" x14ac:dyDescent="0.35">
      <c r="D6" s="5" t="s">
        <v>43</v>
      </c>
    </row>
    <row r="7" spans="4:49" ht="15" hidden="1" thickBot="1" x14ac:dyDescent="0.35">
      <c r="D7" s="6"/>
    </row>
    <row r="8" spans="4:49" ht="18.600000000000001" hidden="1" thickBot="1" x14ac:dyDescent="0.4">
      <c r="D8" s="7"/>
    </row>
    <row r="9" spans="4:49" ht="18.600000000000001" hidden="1" thickBot="1" x14ac:dyDescent="0.35">
      <c r="D9" s="5" t="s">
        <v>44</v>
      </c>
    </row>
    <row r="10" spans="4:49" ht="18.600000000000001" hidden="1" thickBot="1" x14ac:dyDescent="0.35">
      <c r="D10" s="5"/>
    </row>
    <row r="11" spans="4:49" ht="18.600000000000001" hidden="1" thickBot="1" x14ac:dyDescent="0.35">
      <c r="D11" s="5" t="s">
        <v>45</v>
      </c>
    </row>
    <row r="12" spans="4:49" s="8" customFormat="1" ht="15" customHeight="1" x14ac:dyDescent="0.3">
      <c r="D12" s="232" t="s">
        <v>78</v>
      </c>
      <c r="E12" s="232" t="s">
        <v>77</v>
      </c>
      <c r="F12" s="222" t="s">
        <v>46</v>
      </c>
      <c r="G12" s="222"/>
      <c r="H12" s="222"/>
      <c r="I12" s="222"/>
      <c r="J12" s="222" t="s">
        <v>66</v>
      </c>
      <c r="K12" s="222"/>
      <c r="L12" s="222"/>
      <c r="M12" s="222"/>
      <c r="N12" s="222"/>
      <c r="O12" s="222" t="s">
        <v>47</v>
      </c>
      <c r="P12" s="222"/>
      <c r="Q12" s="222"/>
      <c r="R12" s="222"/>
      <c r="S12" s="222"/>
      <c r="T12" s="222"/>
      <c r="U12" s="222"/>
      <c r="V12" s="222"/>
      <c r="W12" s="222"/>
      <c r="X12" s="222"/>
      <c r="Y12" s="222"/>
      <c r="Z12" s="222"/>
      <c r="AA12" s="222" t="s">
        <v>48</v>
      </c>
      <c r="AB12" s="222"/>
      <c r="AC12" s="222"/>
      <c r="AD12" s="222"/>
      <c r="AE12" s="222"/>
      <c r="AF12" s="222"/>
      <c r="AG12" s="222"/>
      <c r="AH12" s="222"/>
      <c r="AI12" s="222"/>
      <c r="AJ12" s="222"/>
      <c r="AK12" s="222"/>
      <c r="AL12" s="223"/>
      <c r="AM12" s="229" t="s">
        <v>68</v>
      </c>
      <c r="AN12" s="225" t="s">
        <v>69</v>
      </c>
      <c r="AO12" s="222" t="s">
        <v>70</v>
      </c>
      <c r="AP12" s="222" t="s">
        <v>49</v>
      </c>
      <c r="AQ12" s="222"/>
      <c r="AR12" s="229" t="s">
        <v>71</v>
      </c>
      <c r="AS12" s="222" t="s">
        <v>72</v>
      </c>
      <c r="AT12" s="222" t="s">
        <v>73</v>
      </c>
      <c r="AU12" s="222" t="s">
        <v>74</v>
      </c>
      <c r="AV12" s="222" t="s">
        <v>75</v>
      </c>
      <c r="AW12" s="222" t="s">
        <v>76</v>
      </c>
    </row>
    <row r="13" spans="4:49" s="8" customFormat="1" ht="78.75" customHeight="1" x14ac:dyDescent="0.3">
      <c r="D13" s="232"/>
      <c r="E13" s="23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c r="AM13" s="230"/>
      <c r="AN13" s="225"/>
      <c r="AO13" s="222"/>
      <c r="AP13" s="222"/>
      <c r="AQ13" s="222"/>
      <c r="AR13" s="230"/>
      <c r="AS13" s="222"/>
      <c r="AT13" s="222"/>
      <c r="AU13" s="222"/>
      <c r="AV13" s="222"/>
      <c r="AW13" s="222"/>
    </row>
    <row r="14" spans="4:49" s="9" customFormat="1" ht="30" customHeight="1" x14ac:dyDescent="0.3">
      <c r="D14" s="232"/>
      <c r="E14" s="232"/>
      <c r="F14" s="226" t="s">
        <v>50</v>
      </c>
      <c r="G14" s="226" t="s">
        <v>51</v>
      </c>
      <c r="H14" s="226" t="s">
        <v>52</v>
      </c>
      <c r="I14" s="226" t="s">
        <v>53</v>
      </c>
      <c r="J14" s="227" t="s">
        <v>54</v>
      </c>
      <c r="K14" s="226" t="s">
        <v>50</v>
      </c>
      <c r="L14" s="226" t="s">
        <v>51</v>
      </c>
      <c r="M14" s="226" t="s">
        <v>52</v>
      </c>
      <c r="N14" s="226" t="s">
        <v>53</v>
      </c>
      <c r="O14" s="222" t="s">
        <v>50</v>
      </c>
      <c r="P14" s="222"/>
      <c r="Q14" s="222"/>
      <c r="R14" s="222" t="s">
        <v>51</v>
      </c>
      <c r="S14" s="222"/>
      <c r="T14" s="222"/>
      <c r="U14" s="222" t="s">
        <v>52</v>
      </c>
      <c r="V14" s="222"/>
      <c r="W14" s="222"/>
      <c r="X14" s="222" t="s">
        <v>53</v>
      </c>
      <c r="Y14" s="222"/>
      <c r="Z14" s="222"/>
      <c r="AA14" s="222" t="s">
        <v>50</v>
      </c>
      <c r="AB14" s="222"/>
      <c r="AC14" s="222"/>
      <c r="AD14" s="222" t="s">
        <v>51</v>
      </c>
      <c r="AE14" s="222"/>
      <c r="AF14" s="222"/>
      <c r="AG14" s="222" t="s">
        <v>52</v>
      </c>
      <c r="AH14" s="222"/>
      <c r="AI14" s="222"/>
      <c r="AJ14" s="222" t="s">
        <v>53</v>
      </c>
      <c r="AK14" s="222"/>
      <c r="AL14" s="223"/>
      <c r="AM14" s="230"/>
      <c r="AN14" s="225"/>
      <c r="AO14" s="222"/>
      <c r="AP14" s="222" t="s">
        <v>55</v>
      </c>
      <c r="AQ14" s="222" t="s">
        <v>56</v>
      </c>
      <c r="AR14" s="230"/>
      <c r="AS14" s="222"/>
      <c r="AT14" s="222"/>
      <c r="AU14" s="222"/>
      <c r="AV14" s="222"/>
      <c r="AW14" s="222"/>
    </row>
    <row r="15" spans="4:49" s="9" customFormat="1" ht="30" customHeight="1" x14ac:dyDescent="0.3">
      <c r="D15" s="232"/>
      <c r="E15" s="232"/>
      <c r="F15" s="226"/>
      <c r="G15" s="226"/>
      <c r="H15" s="226"/>
      <c r="I15" s="226"/>
      <c r="J15" s="228"/>
      <c r="K15" s="226"/>
      <c r="L15" s="226"/>
      <c r="M15" s="226"/>
      <c r="N15" s="226"/>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3"/>
      <c r="AM15" s="230"/>
      <c r="AN15" s="225"/>
      <c r="AO15" s="222"/>
      <c r="AP15" s="222"/>
      <c r="AQ15" s="222"/>
      <c r="AR15" s="230"/>
      <c r="AS15" s="222"/>
      <c r="AT15" s="222"/>
      <c r="AU15" s="222"/>
      <c r="AV15" s="222"/>
      <c r="AW15" s="222"/>
    </row>
    <row r="16" spans="4:49" s="9" customFormat="1" ht="18" x14ac:dyDescent="0.3">
      <c r="D16" s="232"/>
      <c r="E16" s="232"/>
      <c r="F16" s="222" t="s">
        <v>57</v>
      </c>
      <c r="G16" s="222"/>
      <c r="H16" s="222"/>
      <c r="I16" s="222"/>
      <c r="J16" s="222" t="s">
        <v>57</v>
      </c>
      <c r="K16" s="222"/>
      <c r="L16" s="222"/>
      <c r="M16" s="222"/>
      <c r="N16" s="222"/>
      <c r="O16" s="25" t="s">
        <v>58</v>
      </c>
      <c r="P16" s="25" t="s">
        <v>59</v>
      </c>
      <c r="Q16" s="25" t="s">
        <v>60</v>
      </c>
      <c r="R16" s="25" t="s">
        <v>58</v>
      </c>
      <c r="S16" s="25" t="s">
        <v>59</v>
      </c>
      <c r="T16" s="25" t="s">
        <v>60</v>
      </c>
      <c r="U16" s="25" t="s">
        <v>58</v>
      </c>
      <c r="V16" s="25" t="s">
        <v>59</v>
      </c>
      <c r="W16" s="25" t="s">
        <v>60</v>
      </c>
      <c r="X16" s="25" t="s">
        <v>58</v>
      </c>
      <c r="Y16" s="25" t="s">
        <v>59</v>
      </c>
      <c r="Z16" s="25" t="s">
        <v>60</v>
      </c>
      <c r="AA16" s="25" t="s">
        <v>58</v>
      </c>
      <c r="AB16" s="25" t="s">
        <v>59</v>
      </c>
      <c r="AC16" s="25" t="s">
        <v>60</v>
      </c>
      <c r="AD16" s="25" t="s">
        <v>58</v>
      </c>
      <c r="AE16" s="25" t="s">
        <v>59</v>
      </c>
      <c r="AF16" s="25" t="s">
        <v>60</v>
      </c>
      <c r="AG16" s="25" t="s">
        <v>58</v>
      </c>
      <c r="AH16" s="25" t="s">
        <v>59</v>
      </c>
      <c r="AI16" s="25" t="s">
        <v>60</v>
      </c>
      <c r="AJ16" s="25" t="s">
        <v>58</v>
      </c>
      <c r="AK16" s="25" t="s">
        <v>59</v>
      </c>
      <c r="AL16" s="27" t="s">
        <v>60</v>
      </c>
      <c r="AM16" s="230"/>
      <c r="AN16" s="225"/>
      <c r="AO16" s="222"/>
      <c r="AP16" s="222"/>
      <c r="AQ16" s="222"/>
      <c r="AR16" s="230"/>
      <c r="AS16" s="222"/>
      <c r="AT16" s="222"/>
      <c r="AU16" s="222"/>
      <c r="AV16" s="222"/>
      <c r="AW16" s="222"/>
    </row>
    <row r="17" spans="1:49" s="9" customFormat="1" ht="18" x14ac:dyDescent="0.3">
      <c r="C17" s="9" t="s">
        <v>64</v>
      </c>
      <c r="D17" s="232"/>
      <c r="E17" s="232"/>
      <c r="F17" s="222"/>
      <c r="G17" s="222"/>
      <c r="H17" s="222"/>
      <c r="I17" s="222"/>
      <c r="J17" s="222"/>
      <c r="K17" s="222"/>
      <c r="L17" s="222"/>
      <c r="M17" s="222"/>
      <c r="N17" s="222"/>
      <c r="O17" s="222" t="s">
        <v>61</v>
      </c>
      <c r="P17" s="222"/>
      <c r="Q17" s="222"/>
      <c r="R17" s="222" t="s">
        <v>61</v>
      </c>
      <c r="S17" s="222"/>
      <c r="T17" s="222"/>
      <c r="U17" s="222" t="s">
        <v>61</v>
      </c>
      <c r="V17" s="222"/>
      <c r="W17" s="222"/>
      <c r="X17" s="222" t="s">
        <v>61</v>
      </c>
      <c r="Y17" s="222"/>
      <c r="Z17" s="222"/>
      <c r="AA17" s="223" t="s">
        <v>61</v>
      </c>
      <c r="AB17" s="224"/>
      <c r="AC17" s="225"/>
      <c r="AD17" s="223" t="s">
        <v>61</v>
      </c>
      <c r="AE17" s="224"/>
      <c r="AF17" s="225"/>
      <c r="AG17" s="223" t="s">
        <v>61</v>
      </c>
      <c r="AH17" s="224"/>
      <c r="AI17" s="225"/>
      <c r="AJ17" s="223" t="s">
        <v>61</v>
      </c>
      <c r="AK17" s="224"/>
      <c r="AL17" s="224"/>
      <c r="AM17" s="230"/>
      <c r="AN17" s="225"/>
      <c r="AO17" s="222"/>
      <c r="AP17" s="222"/>
      <c r="AQ17" s="222"/>
      <c r="AR17" s="230"/>
      <c r="AS17" s="222"/>
      <c r="AT17" s="222"/>
      <c r="AU17" s="222"/>
      <c r="AV17" s="222"/>
      <c r="AW17" s="222"/>
    </row>
    <row r="18" spans="1:49" s="9" customFormat="1" ht="18" hidden="1" x14ac:dyDescent="0.3">
      <c r="B18" s="9" t="s">
        <v>67</v>
      </c>
      <c r="D18" s="26">
        <v>1</v>
      </c>
      <c r="E18" s="26">
        <v>2</v>
      </c>
      <c r="F18" s="26">
        <v>3</v>
      </c>
      <c r="G18" s="26">
        <v>4</v>
      </c>
      <c r="H18" s="26">
        <v>5</v>
      </c>
      <c r="I18" s="26">
        <v>6</v>
      </c>
      <c r="J18" s="26">
        <v>7</v>
      </c>
      <c r="K18" s="26">
        <v>8</v>
      </c>
      <c r="L18" s="26">
        <v>9</v>
      </c>
      <c r="M18" s="26">
        <v>10</v>
      </c>
      <c r="N18" s="26">
        <v>11</v>
      </c>
      <c r="O18" s="26">
        <v>12</v>
      </c>
      <c r="P18" s="26">
        <v>13</v>
      </c>
      <c r="Q18" s="26">
        <v>14</v>
      </c>
      <c r="R18" s="26">
        <v>15</v>
      </c>
      <c r="S18" s="26">
        <v>16</v>
      </c>
      <c r="T18" s="26">
        <v>17</v>
      </c>
      <c r="U18" s="26">
        <v>18</v>
      </c>
      <c r="V18" s="26">
        <v>19</v>
      </c>
      <c r="W18" s="26">
        <v>20</v>
      </c>
      <c r="X18" s="26">
        <v>21</v>
      </c>
      <c r="Y18" s="26">
        <v>22</v>
      </c>
      <c r="Z18" s="26">
        <v>23</v>
      </c>
      <c r="AA18" s="26">
        <v>24</v>
      </c>
      <c r="AB18" s="26">
        <v>25</v>
      </c>
      <c r="AC18" s="26">
        <v>26</v>
      </c>
      <c r="AD18" s="26">
        <v>27</v>
      </c>
      <c r="AE18" s="26">
        <v>28</v>
      </c>
      <c r="AF18" s="26">
        <v>29</v>
      </c>
      <c r="AG18" s="26">
        <v>30</v>
      </c>
      <c r="AH18" s="26">
        <v>31</v>
      </c>
      <c r="AI18" s="26">
        <v>32</v>
      </c>
      <c r="AJ18" s="26">
        <v>33</v>
      </c>
      <c r="AK18" s="26">
        <v>34</v>
      </c>
      <c r="AL18" s="19">
        <v>35</v>
      </c>
      <c r="AM18" s="23">
        <v>36</v>
      </c>
      <c r="AN18" s="21"/>
      <c r="AO18" s="26"/>
      <c r="AP18" s="25">
        <v>37</v>
      </c>
      <c r="AQ18" s="25">
        <v>38</v>
      </c>
      <c r="AR18" s="23">
        <v>39</v>
      </c>
      <c r="AS18" s="26"/>
      <c r="AT18" s="21"/>
      <c r="AU18" s="26"/>
      <c r="AV18" s="26"/>
      <c r="AW18" s="26"/>
    </row>
    <row r="19" spans="1:49" ht="15.6" x14ac:dyDescent="0.3">
      <c r="B19" t="s">
        <v>109</v>
      </c>
      <c r="C19">
        <v>142</v>
      </c>
      <c r="D19" s="10">
        <v>23</v>
      </c>
      <c r="E19" s="10" t="s">
        <v>79</v>
      </c>
      <c r="F19" s="11">
        <v>218213.65832999995</v>
      </c>
      <c r="G19" s="11">
        <v>436427.31665999989</v>
      </c>
      <c r="H19" s="12">
        <v>0.15412694253958623</v>
      </c>
      <c r="I19" s="12">
        <v>7.7063471269793113E-2</v>
      </c>
      <c r="J19" s="13" t="s">
        <v>62</v>
      </c>
      <c r="K19" s="11">
        <v>218213.65832999995</v>
      </c>
      <c r="L19" s="11">
        <v>436427.31665999989</v>
      </c>
      <c r="M19" s="12">
        <v>0.15207657917092976</v>
      </c>
      <c r="N19" s="12">
        <v>7.603828958546488E-2</v>
      </c>
      <c r="O19" s="11">
        <v>899128.13373985502</v>
      </c>
      <c r="P19" s="11">
        <v>1467963.9498339959</v>
      </c>
      <c r="Q19" s="11">
        <v>2060566.1415962509</v>
      </c>
      <c r="R19" s="11">
        <v>995552.02633796888</v>
      </c>
      <c r="S19" s="11">
        <v>1548861.9735953838</v>
      </c>
      <c r="T19" s="11">
        <v>2124895.5142856105</v>
      </c>
      <c r="U19" s="12">
        <v>0.34727267292301695</v>
      </c>
      <c r="V19" s="12">
        <v>0.54009025717248615</v>
      </c>
      <c r="W19" s="12">
        <v>0.74082330832797449</v>
      </c>
      <c r="X19" s="12">
        <v>0.31363768245510409</v>
      </c>
      <c r="Y19" s="12">
        <v>0.51188100728263908</v>
      </c>
      <c r="Z19" s="12">
        <v>0.71839552381904215</v>
      </c>
      <c r="AA19" s="11">
        <v>813857.8754421554</v>
      </c>
      <c r="AB19" s="11">
        <v>1220057.9142930198</v>
      </c>
      <c r="AC19" s="11">
        <v>1743343.6788080989</v>
      </c>
      <c r="AD19" s="11">
        <v>931042.22044382803</v>
      </c>
      <c r="AE19" s="11">
        <v>1320383.9464906354</v>
      </c>
      <c r="AF19" s="11">
        <v>1822987.8633388819</v>
      </c>
      <c r="AG19" s="12">
        <v>0.32445770921865963</v>
      </c>
      <c r="AH19" s="12">
        <v>0.46532601350328118</v>
      </c>
      <c r="AI19" s="12">
        <v>0.63093282634037884</v>
      </c>
      <c r="AJ19" s="12">
        <v>0.28362028713332499</v>
      </c>
      <c r="AK19" s="12">
        <v>0.42996939413722662</v>
      </c>
      <c r="AL19" s="20">
        <v>0.6033681170748183</v>
      </c>
      <c r="AM19" s="24">
        <v>0</v>
      </c>
      <c r="AN19" s="22">
        <v>0</v>
      </c>
      <c r="AO19" s="14">
        <v>0</v>
      </c>
      <c r="AP19" s="15"/>
      <c r="AQ19" s="15"/>
      <c r="AR19" s="24">
        <v>0</v>
      </c>
      <c r="AS19" s="14">
        <v>0</v>
      </c>
      <c r="AT19" s="22">
        <v>0</v>
      </c>
      <c r="AU19" s="14">
        <v>0</v>
      </c>
      <c r="AV19" s="14">
        <v>0</v>
      </c>
      <c r="AW19" s="14">
        <v>0</v>
      </c>
    </row>
    <row r="20" spans="1:49" ht="15.6" x14ac:dyDescent="0.3">
      <c r="B20" t="s">
        <v>106</v>
      </c>
      <c r="C20">
        <v>171</v>
      </c>
      <c r="D20" s="10">
        <v>13</v>
      </c>
      <c r="E20" s="10" t="s">
        <v>80</v>
      </c>
      <c r="F20" s="11">
        <v>1909602.8695799999</v>
      </c>
      <c r="G20" s="11">
        <v>3669949.8691400001</v>
      </c>
      <c r="H20" s="12">
        <v>0.2084350077553225</v>
      </c>
      <c r="I20" s="12">
        <v>0.10845600161393092</v>
      </c>
      <c r="J20" s="13" t="s">
        <v>62</v>
      </c>
      <c r="K20" s="11">
        <v>1909602.8695799999</v>
      </c>
      <c r="L20" s="11">
        <v>3525510.12414</v>
      </c>
      <c r="M20" s="12">
        <v>0.18595760969666308</v>
      </c>
      <c r="N20" s="12">
        <v>0.10072448315082019</v>
      </c>
      <c r="O20" s="11">
        <v>3570996.2795483293</v>
      </c>
      <c r="P20" s="11">
        <v>4987154.3100875728</v>
      </c>
      <c r="Q20" s="11">
        <v>6477029.8368457146</v>
      </c>
      <c r="R20" s="11">
        <v>4545118.6960244859</v>
      </c>
      <c r="S20" s="11">
        <v>5815467.0036619501</v>
      </c>
      <c r="T20" s="11">
        <v>7089914.1084756078</v>
      </c>
      <c r="U20" s="12">
        <v>0.22275035563966583</v>
      </c>
      <c r="V20" s="12">
        <v>0.28408326911226078</v>
      </c>
      <c r="W20" s="12">
        <v>0.34537619422172638</v>
      </c>
      <c r="X20" s="12">
        <v>0.17500988300989107</v>
      </c>
      <c r="Y20" s="12">
        <v>0.2436205207741447</v>
      </c>
      <c r="Z20" s="12">
        <v>0.31552031247263146</v>
      </c>
      <c r="AA20" s="11">
        <v>3154061.545912514</v>
      </c>
      <c r="AB20" s="11">
        <v>4358213.9072609851</v>
      </c>
      <c r="AC20" s="11">
        <v>5722740.9058973249</v>
      </c>
      <c r="AD20" s="11">
        <v>4421101.8918185644</v>
      </c>
      <c r="AE20" s="11">
        <v>5490052.1426588502</v>
      </c>
      <c r="AF20" s="11">
        <v>6595321.9027941218</v>
      </c>
      <c r="AG20" s="12">
        <v>0.21674067714328371</v>
      </c>
      <c r="AH20" s="12">
        <v>0.26897545481211604</v>
      </c>
      <c r="AI20" s="12">
        <v>0.32171121329466035</v>
      </c>
      <c r="AJ20" s="12">
        <v>0.15462512557734218</v>
      </c>
      <c r="AK20" s="12">
        <v>0.21352302991174998</v>
      </c>
      <c r="AL20" s="20">
        <v>0.27914784863301956</v>
      </c>
      <c r="AM20" s="24">
        <v>0</v>
      </c>
      <c r="AN20" s="22">
        <v>0</v>
      </c>
      <c r="AO20" s="14">
        <v>0</v>
      </c>
      <c r="AP20" s="15"/>
      <c r="AQ20" s="15"/>
      <c r="AR20" s="24">
        <v>0</v>
      </c>
      <c r="AS20" s="14">
        <v>0</v>
      </c>
      <c r="AT20" s="22">
        <v>0</v>
      </c>
      <c r="AU20" s="14">
        <v>0</v>
      </c>
      <c r="AV20" s="14">
        <v>0</v>
      </c>
      <c r="AW20" s="14">
        <v>0</v>
      </c>
    </row>
    <row r="21" spans="1:49" ht="15.6" x14ac:dyDescent="0.3">
      <c r="B21" t="s">
        <v>112</v>
      </c>
      <c r="C21">
        <v>296</v>
      </c>
      <c r="D21" s="10">
        <v>11</v>
      </c>
      <c r="E21" s="10" t="s">
        <v>81</v>
      </c>
      <c r="F21" s="11">
        <v>2444281.2114800001</v>
      </c>
      <c r="G21" s="11">
        <v>3234495.4954000004</v>
      </c>
      <c r="H21" s="12">
        <v>0.15656107001485914</v>
      </c>
      <c r="I21" s="12">
        <v>0.11831189204955136</v>
      </c>
      <c r="J21" s="13" t="s">
        <v>62</v>
      </c>
      <c r="K21" s="11">
        <v>2444281.2114800001</v>
      </c>
      <c r="L21" s="11">
        <v>3286547.0755500002</v>
      </c>
      <c r="M21" s="12">
        <v>0.15781799321815085</v>
      </c>
      <c r="N21" s="12">
        <v>0.11737289829997311</v>
      </c>
      <c r="O21" s="11">
        <v>4351741.7346325386</v>
      </c>
      <c r="P21" s="11">
        <v>5566799.1228299215</v>
      </c>
      <c r="Q21" s="11">
        <v>6856775.056589514</v>
      </c>
      <c r="R21" s="11">
        <v>4351741.7079225387</v>
      </c>
      <c r="S21" s="11">
        <v>5566799.0961199217</v>
      </c>
      <c r="T21" s="11">
        <v>6856775.0298795141</v>
      </c>
      <c r="U21" s="12">
        <v>0.20858354778260044</v>
      </c>
      <c r="V21" s="12">
        <v>0.26557413379372219</v>
      </c>
      <c r="W21" s="12">
        <v>0.3265849115701232</v>
      </c>
      <c r="X21" s="12">
        <v>0.20858354906283877</v>
      </c>
      <c r="Y21" s="12">
        <v>0.26557413506797067</v>
      </c>
      <c r="Z21" s="12">
        <v>0.32658491284230773</v>
      </c>
      <c r="AA21" s="11">
        <v>3188791.0158522883</v>
      </c>
      <c r="AB21" s="11">
        <v>4032431.3474911423</v>
      </c>
      <c r="AC21" s="11">
        <v>5177743.5061464701</v>
      </c>
      <c r="AD21" s="11">
        <v>3188790.9891422885</v>
      </c>
      <c r="AE21" s="11">
        <v>4032431.3207811425</v>
      </c>
      <c r="AF21" s="11">
        <v>5177743.4794364702</v>
      </c>
      <c r="AG21" s="12">
        <v>0.15694033174006483</v>
      </c>
      <c r="AH21" s="12">
        <v>0.1991722291107344</v>
      </c>
      <c r="AI21" s="12">
        <v>0.25461003378797231</v>
      </c>
      <c r="AJ21" s="12">
        <v>0.15694033305463084</v>
      </c>
      <c r="AK21" s="12">
        <v>0.19917223043001048</v>
      </c>
      <c r="AL21" s="20">
        <v>0.25461003510140817</v>
      </c>
      <c r="AM21" s="24">
        <v>0</v>
      </c>
      <c r="AN21" s="22">
        <v>0</v>
      </c>
      <c r="AO21" s="14">
        <v>0</v>
      </c>
      <c r="AP21" s="15"/>
      <c r="AQ21" s="15"/>
      <c r="AR21" s="24">
        <v>0</v>
      </c>
      <c r="AS21" s="14">
        <v>0</v>
      </c>
      <c r="AT21" s="22">
        <v>0</v>
      </c>
      <c r="AU21" s="14">
        <v>0</v>
      </c>
      <c r="AV21" s="14">
        <v>0</v>
      </c>
      <c r="AW21" s="14">
        <v>0</v>
      </c>
    </row>
    <row r="22" spans="1:49" ht="15.6" x14ac:dyDescent="0.3">
      <c r="B22" t="s">
        <v>100</v>
      </c>
      <c r="C22">
        <v>36</v>
      </c>
      <c r="D22" s="10">
        <v>4</v>
      </c>
      <c r="E22" s="10" t="s">
        <v>82</v>
      </c>
      <c r="F22" s="11">
        <v>5138703.4658999993</v>
      </c>
      <c r="G22" s="11">
        <v>9488384.1121699996</v>
      </c>
      <c r="H22" s="12">
        <v>0.19482285739276137</v>
      </c>
      <c r="I22" s="12">
        <v>0.10551184276326303</v>
      </c>
      <c r="J22" s="13" t="s">
        <v>62</v>
      </c>
      <c r="K22" s="11">
        <v>5138703.4658999993</v>
      </c>
      <c r="L22" s="11">
        <v>9322092.8639889993</v>
      </c>
      <c r="M22" s="12">
        <v>0.19168312184909658</v>
      </c>
      <c r="N22" s="12">
        <v>0.10566326006100242</v>
      </c>
      <c r="O22" s="11">
        <v>9740995.903322693</v>
      </c>
      <c r="P22" s="11">
        <v>14837748.464522414</v>
      </c>
      <c r="Q22" s="11">
        <v>19940623.651353091</v>
      </c>
      <c r="R22" s="11">
        <v>10158527.770902691</v>
      </c>
      <c r="S22" s="11">
        <v>15255280.332102412</v>
      </c>
      <c r="T22" s="11">
        <v>20358155.518933091</v>
      </c>
      <c r="U22" s="12">
        <v>0.2083448147531507</v>
      </c>
      <c r="V22" s="12">
        <v>0.31084769961441505</v>
      </c>
      <c r="W22" s="12">
        <v>0.41371655729495016</v>
      </c>
      <c r="X22" s="12">
        <v>0.19978150700164157</v>
      </c>
      <c r="Y22" s="12">
        <v>0.30233990311854647</v>
      </c>
      <c r="Z22" s="12">
        <v>0.40523151322229434</v>
      </c>
      <c r="AA22" s="11">
        <v>9331611.8892062604</v>
      </c>
      <c r="AB22" s="11">
        <v>14367614.928520702</v>
      </c>
      <c r="AC22" s="11">
        <v>19657806.801964425</v>
      </c>
      <c r="AD22" s="11">
        <v>9754070.7001562603</v>
      </c>
      <c r="AE22" s="11">
        <v>14790073.739470702</v>
      </c>
      <c r="AF22" s="11">
        <v>20080265.612914424</v>
      </c>
      <c r="AG22" s="12">
        <v>0.19173640008130555</v>
      </c>
      <c r="AH22" s="12">
        <v>0.28747109645676017</v>
      </c>
      <c r="AI22" s="12">
        <v>0.38498484158832508</v>
      </c>
      <c r="AJ22" s="12">
        <v>0.18343209984767242</v>
      </c>
      <c r="AK22" s="12">
        <v>0.27925986642972433</v>
      </c>
      <c r="AL22" s="20">
        <v>0.37688533525975454</v>
      </c>
      <c r="AM22" s="24">
        <v>0</v>
      </c>
      <c r="AN22" s="22">
        <v>0</v>
      </c>
      <c r="AO22" s="14">
        <v>0</v>
      </c>
      <c r="AP22" s="15"/>
      <c r="AQ22" s="15"/>
      <c r="AR22" s="24">
        <v>0</v>
      </c>
      <c r="AS22" s="14">
        <v>0</v>
      </c>
      <c r="AT22" s="22">
        <v>0</v>
      </c>
      <c r="AU22" s="14">
        <v>0</v>
      </c>
      <c r="AV22" s="14">
        <v>0</v>
      </c>
      <c r="AW22" s="14">
        <v>0</v>
      </c>
    </row>
    <row r="23" spans="1:49" ht="15.6" x14ac:dyDescent="0.3">
      <c r="B23" t="s">
        <v>115</v>
      </c>
      <c r="C23">
        <v>136</v>
      </c>
      <c r="D23" s="10">
        <v>8</v>
      </c>
      <c r="E23" s="10" t="s">
        <v>83</v>
      </c>
      <c r="F23" s="11">
        <v>3840268.0966999996</v>
      </c>
      <c r="G23" s="11">
        <v>6230984.456079999</v>
      </c>
      <c r="H23" s="12">
        <v>0.22650446340226524</v>
      </c>
      <c r="I23" s="12">
        <v>0.13959878582510526</v>
      </c>
      <c r="J23" s="13" t="s">
        <v>62</v>
      </c>
      <c r="K23" s="11">
        <v>3840268.0966999996</v>
      </c>
      <c r="L23" s="11">
        <v>6170342.9316099994</v>
      </c>
      <c r="M23" s="12">
        <v>0.22223614897298308</v>
      </c>
      <c r="N23" s="12">
        <v>0.13831425615945941</v>
      </c>
      <c r="O23" s="11">
        <v>4869523.9169803225</v>
      </c>
      <c r="P23" s="11">
        <v>6109264.1370436698</v>
      </c>
      <c r="Q23" s="11">
        <v>7406477.7230546931</v>
      </c>
      <c r="R23" s="11">
        <v>5303445.7703906493</v>
      </c>
      <c r="S23" s="11">
        <v>5912981.9449149221</v>
      </c>
      <c r="T23" s="11">
        <v>7148801.2274046931</v>
      </c>
      <c r="U23" s="12">
        <v>0.19342168643190952</v>
      </c>
      <c r="V23" s="12">
        <v>0.21526505578803762</v>
      </c>
      <c r="W23" s="12">
        <v>0.26013035485039565</v>
      </c>
      <c r="X23" s="12">
        <v>0.17759614577400948</v>
      </c>
      <c r="Y23" s="12">
        <v>0.22241080685449063</v>
      </c>
      <c r="Z23" s="12">
        <v>0.26950667909243575</v>
      </c>
      <c r="AA23" s="11">
        <v>4691382.6455001077</v>
      </c>
      <c r="AB23" s="11">
        <v>5960698.054972983</v>
      </c>
      <c r="AC23" s="11">
        <v>7386476.1892523365</v>
      </c>
      <c r="AD23" s="11">
        <v>5333267.6388376663</v>
      </c>
      <c r="AE23" s="11">
        <v>5786913.09050442</v>
      </c>
      <c r="AF23" s="11">
        <v>7128799.6936023366</v>
      </c>
      <c r="AG23" s="12">
        <v>0.19502717244590881</v>
      </c>
      <c r="AH23" s="12">
        <v>0.2116731322945587</v>
      </c>
      <c r="AI23" s="12">
        <v>0.26015530908838902</v>
      </c>
      <c r="AJ23" s="12">
        <v>0.17155469295238618</v>
      </c>
      <c r="AK23" s="12">
        <v>0.21802982146535682</v>
      </c>
      <c r="AL23" s="20">
        <v>0.26955884281802928</v>
      </c>
      <c r="AM23" s="24">
        <v>0</v>
      </c>
      <c r="AN23" s="22">
        <v>0</v>
      </c>
      <c r="AO23" s="14">
        <v>0</v>
      </c>
      <c r="AP23" s="15"/>
      <c r="AQ23" s="15"/>
      <c r="AR23" s="24">
        <v>0</v>
      </c>
      <c r="AS23" s="14">
        <v>0</v>
      </c>
      <c r="AT23" s="22">
        <v>0</v>
      </c>
      <c r="AU23" s="14">
        <v>0</v>
      </c>
      <c r="AV23" s="14">
        <v>0</v>
      </c>
      <c r="AW23" s="14">
        <v>0</v>
      </c>
    </row>
    <row r="24" spans="1:49" ht="15.6" x14ac:dyDescent="0.3">
      <c r="B24" t="s">
        <v>116</v>
      </c>
      <c r="C24">
        <v>305</v>
      </c>
      <c r="D24" s="10">
        <v>21</v>
      </c>
      <c r="E24" s="10" t="s">
        <v>84</v>
      </c>
      <c r="F24" s="11">
        <v>447657.08088999998</v>
      </c>
      <c r="G24" s="11">
        <v>659618.35829999996</v>
      </c>
      <c r="H24" s="12">
        <v>0.12404962348693778</v>
      </c>
      <c r="I24" s="12">
        <v>8.4187608845189041E-2</v>
      </c>
      <c r="J24" s="13" t="s">
        <v>62</v>
      </c>
      <c r="K24" s="11">
        <v>447657.08088999998</v>
      </c>
      <c r="L24" s="11">
        <v>615745.84627379873</v>
      </c>
      <c r="M24" s="12">
        <v>0.11643821762137223</v>
      </c>
      <c r="N24" s="12">
        <v>8.4652446979301785E-2</v>
      </c>
      <c r="O24" s="11">
        <v>496081.21615971066</v>
      </c>
      <c r="P24" s="11">
        <v>540495.63571453432</v>
      </c>
      <c r="Q24" s="11">
        <v>591691.59776582115</v>
      </c>
      <c r="R24" s="11">
        <v>561900.09255842958</v>
      </c>
      <c r="S24" s="11">
        <v>600513.11238371581</v>
      </c>
      <c r="T24" s="11">
        <v>652308.37457023398</v>
      </c>
      <c r="U24" s="12">
        <v>0.10776045075876411</v>
      </c>
      <c r="V24" s="12">
        <v>0.11404433686156838</v>
      </c>
      <c r="W24" s="12">
        <v>0.12324218806381856</v>
      </c>
      <c r="X24" s="12">
        <v>9.5137794377151585E-2</v>
      </c>
      <c r="Y24" s="12">
        <v>0.10264632874868665</v>
      </c>
      <c r="Z24" s="12">
        <v>0.1117897148195898</v>
      </c>
      <c r="AA24" s="11">
        <v>160970.14897073276</v>
      </c>
      <c r="AB24" s="11">
        <v>26529.211245073704</v>
      </c>
      <c r="AC24" s="11">
        <v>-43242.210092108347</v>
      </c>
      <c r="AD24" s="11">
        <v>243968.96257941605</v>
      </c>
      <c r="AE24" s="11">
        <v>53058.422490147408</v>
      </c>
      <c r="AF24" s="11">
        <v>-43242.210092108347</v>
      </c>
      <c r="AG24" s="12">
        <v>4.2168415999799057E-2</v>
      </c>
      <c r="AH24" s="12">
        <v>8.9072334119993483E-3</v>
      </c>
      <c r="AI24" s="12">
        <v>-7.1108333082928509E-3</v>
      </c>
      <c r="AJ24" s="12">
        <v>2.7822621917072431E-2</v>
      </c>
      <c r="AK24" s="12">
        <v>4.4536167059996742E-3</v>
      </c>
      <c r="AL24" s="20">
        <v>-7.1108333082928509E-3</v>
      </c>
      <c r="AM24" s="24">
        <v>0</v>
      </c>
      <c r="AN24" s="22">
        <v>0</v>
      </c>
      <c r="AO24" s="14">
        <v>0</v>
      </c>
      <c r="AP24" s="15"/>
      <c r="AQ24" s="15"/>
      <c r="AR24" s="24">
        <v>294090.61125195853</v>
      </c>
      <c r="AS24" s="14">
        <v>0</v>
      </c>
      <c r="AT24" s="22">
        <v>0</v>
      </c>
      <c r="AU24" s="14">
        <v>41525.332251996901</v>
      </c>
      <c r="AV24" s="14">
        <v>200572.99477905396</v>
      </c>
      <c r="AW24" s="14">
        <v>294090.61125195853</v>
      </c>
    </row>
    <row r="25" spans="1:49" ht="15.6" x14ac:dyDescent="0.3">
      <c r="B25" t="s">
        <v>114</v>
      </c>
      <c r="C25">
        <v>62</v>
      </c>
      <c r="D25" s="10">
        <v>15</v>
      </c>
      <c r="E25" s="10" t="s">
        <v>98</v>
      </c>
      <c r="F25" s="11">
        <v>734861.84195999999</v>
      </c>
      <c r="G25" s="11">
        <v>1213405.3096699999</v>
      </c>
      <c r="H25" s="12">
        <v>0.11304672666974998</v>
      </c>
      <c r="I25" s="12">
        <v>6.8463295096898844E-2</v>
      </c>
      <c r="J25" s="13" t="s">
        <v>62</v>
      </c>
      <c r="K25" s="11">
        <v>734861.84195999999</v>
      </c>
      <c r="L25" s="11">
        <v>1179282.3397723085</v>
      </c>
      <c r="M25" s="12">
        <v>0.11006091326009911</v>
      </c>
      <c r="N25" s="12">
        <v>6.8583716314900595E-2</v>
      </c>
      <c r="O25" s="11">
        <v>1381666.7198751587</v>
      </c>
      <c r="P25" s="11">
        <v>1968617.9937228719</v>
      </c>
      <c r="Q25" s="11">
        <v>2578834.3260196773</v>
      </c>
      <c r="R25" s="11">
        <v>1739867.1290887529</v>
      </c>
      <c r="S25" s="11">
        <v>2332811.4042887795</v>
      </c>
      <c r="T25" s="11">
        <v>2946024.2372617414</v>
      </c>
      <c r="U25" s="12">
        <v>0.16202917347596296</v>
      </c>
      <c r="V25" s="12">
        <v>0.21541544856956149</v>
      </c>
      <c r="W25" s="12">
        <v>0.27097126057158888</v>
      </c>
      <c r="X25" s="12">
        <v>0.12867092716319539</v>
      </c>
      <c r="Y25" s="12">
        <v>0.18178526022304492</v>
      </c>
      <c r="Z25" s="12">
        <v>0.23719763717095016</v>
      </c>
      <c r="AA25" s="11">
        <v>813278.335197662</v>
      </c>
      <c r="AB25" s="11">
        <v>1100971.8374430914</v>
      </c>
      <c r="AC25" s="11">
        <v>1568416.925047802</v>
      </c>
      <c r="AD25" s="11">
        <v>1257378.4304610784</v>
      </c>
      <c r="AE25" s="11">
        <v>1572040.4387919169</v>
      </c>
      <c r="AF25" s="11">
        <v>2060461.0311297236</v>
      </c>
      <c r="AG25" s="12">
        <v>0.11007210950326787</v>
      </c>
      <c r="AH25" s="12">
        <v>0.13518594340874662</v>
      </c>
      <c r="AI25" s="12">
        <v>0.17415812293831945</v>
      </c>
      <c r="AJ25" s="12">
        <v>7.1195162728921554E-2</v>
      </c>
      <c r="AK25" s="12">
        <v>9.4676900694477747E-2</v>
      </c>
      <c r="AL25" s="20">
        <v>0.13256865503602858</v>
      </c>
      <c r="AM25" s="24">
        <v>15175.217872291571</v>
      </c>
      <c r="AN25" s="22">
        <v>15175.217872291571</v>
      </c>
      <c r="AO25" s="14">
        <v>0</v>
      </c>
      <c r="AP25" s="15"/>
      <c r="AQ25" s="15"/>
      <c r="AR25" s="24">
        <v>0</v>
      </c>
      <c r="AS25" s="14">
        <v>0</v>
      </c>
      <c r="AT25" s="22">
        <v>0</v>
      </c>
      <c r="AU25" s="14">
        <v>0</v>
      </c>
      <c r="AV25" s="14">
        <v>0</v>
      </c>
      <c r="AW25" s="14">
        <v>0</v>
      </c>
    </row>
    <row r="26" spans="1:49" ht="15.6" x14ac:dyDescent="0.3">
      <c r="B26" t="s">
        <v>101</v>
      </c>
      <c r="C26">
        <v>106</v>
      </c>
      <c r="D26" s="10">
        <v>12</v>
      </c>
      <c r="E26" s="10" t="s">
        <v>85</v>
      </c>
      <c r="F26" s="11">
        <v>1741568.1806400002</v>
      </c>
      <c r="G26" s="11">
        <v>2101519.10886</v>
      </c>
      <c r="H26" s="12">
        <v>0.10372800182115251</v>
      </c>
      <c r="I26" s="12">
        <v>8.5961334660945868E-2</v>
      </c>
      <c r="J26" s="13" t="s">
        <v>62</v>
      </c>
      <c r="K26" s="11">
        <v>1741568.1806400002</v>
      </c>
      <c r="L26" s="11">
        <v>1996470.1274300129</v>
      </c>
      <c r="M26" s="12">
        <v>9.8865040962274942E-2</v>
      </c>
      <c r="N26" s="12">
        <v>8.6242316953276874E-2</v>
      </c>
      <c r="O26" s="11">
        <v>1843391.3057007582</v>
      </c>
      <c r="P26" s="11">
        <v>1982615.1615173477</v>
      </c>
      <c r="Q26" s="11">
        <v>2471005.4103041254</v>
      </c>
      <c r="R26" s="11">
        <v>1946836.4527736052</v>
      </c>
      <c r="S26" s="11">
        <v>2065639.4848848567</v>
      </c>
      <c r="T26" s="11">
        <v>2532709.9597634492</v>
      </c>
      <c r="U26" s="12">
        <v>9.833304243779345E-2</v>
      </c>
      <c r="V26" s="12">
        <v>0.1050868745937884</v>
      </c>
      <c r="W26" s="12">
        <v>0.1279564104820701</v>
      </c>
      <c r="X26" s="12">
        <v>9.3108116624119594E-2</v>
      </c>
      <c r="Y26" s="12">
        <v>0.10086311399964877</v>
      </c>
      <c r="Z26" s="12">
        <v>0.12483900154671539</v>
      </c>
      <c r="AA26" s="11">
        <v>-611184.4170479835</v>
      </c>
      <c r="AB26" s="11">
        <v>-1319036.4567405917</v>
      </c>
      <c r="AC26" s="11">
        <v>-1104699.6104301959</v>
      </c>
      <c r="AD26" s="11">
        <v>-653607.10302798345</v>
      </c>
      <c r="AE26" s="11">
        <v>-1361459.1427205917</v>
      </c>
      <c r="AF26" s="11">
        <v>-1147122.296410196</v>
      </c>
      <c r="AG26" s="12">
        <v>-3.1166815516659133E-2</v>
      </c>
      <c r="AH26" s="12">
        <v>-6.4294874848962139E-2</v>
      </c>
      <c r="AI26" s="12">
        <v>-5.2515114501299073E-2</v>
      </c>
      <c r="AJ26" s="12">
        <v>-2.9143918241622612E-2</v>
      </c>
      <c r="AK26" s="12">
        <v>-6.229146453700047E-2</v>
      </c>
      <c r="AL26" s="20">
        <v>-5.0573009270963885E-2</v>
      </c>
      <c r="AM26" s="24">
        <v>33003.084892683662</v>
      </c>
      <c r="AN26" s="22">
        <v>22919.242156986846</v>
      </c>
      <c r="AO26" s="14">
        <v>33003.084892683662</v>
      </c>
      <c r="AP26" s="15"/>
      <c r="AQ26" s="15"/>
      <c r="AR26" s="24">
        <v>2280802.8160412726</v>
      </c>
      <c r="AS26" s="14">
        <v>0</v>
      </c>
      <c r="AT26" s="22">
        <v>0</v>
      </c>
      <c r="AU26" s="14">
        <v>1345178.1930162639</v>
      </c>
      <c r="AV26" s="14">
        <v>2280802.8160412726</v>
      </c>
      <c r="AW26" s="14">
        <v>2005948.9622664421</v>
      </c>
    </row>
    <row r="27" spans="1:49" ht="15.6" x14ac:dyDescent="0.3">
      <c r="B27" t="s">
        <v>110</v>
      </c>
      <c r="C27">
        <v>88</v>
      </c>
      <c r="D27" s="10">
        <v>17</v>
      </c>
      <c r="E27" s="10" t="s">
        <v>86</v>
      </c>
      <c r="F27" s="11">
        <v>879994.54108999996</v>
      </c>
      <c r="G27" s="11">
        <v>1410536.5251999998</v>
      </c>
      <c r="H27" s="12">
        <v>0.15713000225616688</v>
      </c>
      <c r="I27" s="12">
        <v>9.8029041968466887E-2</v>
      </c>
      <c r="J27" s="13" t="s">
        <v>62</v>
      </c>
      <c r="K27" s="11">
        <v>882661.37587000011</v>
      </c>
      <c r="L27" s="11">
        <v>1391992.4305499999</v>
      </c>
      <c r="M27" s="12">
        <v>0.1553559219467438</v>
      </c>
      <c r="N27" s="12">
        <v>9.8511075782850441E-2</v>
      </c>
      <c r="O27" s="11">
        <v>1769076.9245709169</v>
      </c>
      <c r="P27" s="11">
        <v>2305503.3155991845</v>
      </c>
      <c r="Q27" s="11">
        <v>2895789.5978495171</v>
      </c>
      <c r="R27" s="11">
        <v>1878144.799240917</v>
      </c>
      <c r="S27" s="11">
        <v>2414571.1902691843</v>
      </c>
      <c r="T27" s="11">
        <v>3004857.4725195169</v>
      </c>
      <c r="U27" s="12">
        <v>0.20892808074708796</v>
      </c>
      <c r="V27" s="12">
        <v>0.26734027674795352</v>
      </c>
      <c r="W27" s="12">
        <v>0.33174132831241748</v>
      </c>
      <c r="X27" s="12">
        <v>0.19679518144391553</v>
      </c>
      <c r="Y27" s="12">
        <v>0.25526432888768846</v>
      </c>
      <c r="Z27" s="12">
        <v>0.31970005116362155</v>
      </c>
      <c r="AA27" s="11">
        <v>1490351.4841455529</v>
      </c>
      <c r="AB27" s="11">
        <v>1957229.676493464</v>
      </c>
      <c r="AC27" s="11">
        <v>2575523.32653161</v>
      </c>
      <c r="AD27" s="11">
        <v>1602086.1935955528</v>
      </c>
      <c r="AE27" s="11">
        <v>2068964.385943464</v>
      </c>
      <c r="AF27" s="11">
        <v>2687258.03598161</v>
      </c>
      <c r="AG27" s="12">
        <v>0.17429245547760941</v>
      </c>
      <c r="AH27" s="12">
        <v>0.22278559485730265</v>
      </c>
      <c r="AI27" s="12">
        <v>0.2841367906437065</v>
      </c>
      <c r="AJ27" s="12">
        <v>0.1621367319279225</v>
      </c>
      <c r="AK27" s="12">
        <v>0.21075402781818478</v>
      </c>
      <c r="AL27" s="20">
        <v>0.27232253934311151</v>
      </c>
      <c r="AM27" s="24">
        <v>0</v>
      </c>
      <c r="AN27" s="22">
        <v>0</v>
      </c>
      <c r="AO27" s="14">
        <v>0</v>
      </c>
      <c r="AP27" s="15"/>
      <c r="AQ27" s="15"/>
      <c r="AR27" s="24">
        <v>0</v>
      </c>
      <c r="AS27" s="14">
        <v>0</v>
      </c>
      <c r="AT27" s="22">
        <v>0</v>
      </c>
      <c r="AU27" s="14">
        <v>0</v>
      </c>
      <c r="AV27" s="14">
        <v>0</v>
      </c>
      <c r="AW27" s="14">
        <v>0</v>
      </c>
    </row>
    <row r="28" spans="1:49" ht="15.6" x14ac:dyDescent="0.3">
      <c r="B28" t="s">
        <v>113</v>
      </c>
      <c r="C28">
        <v>299</v>
      </c>
      <c r="D28" s="10">
        <v>9</v>
      </c>
      <c r="E28" s="10" t="s">
        <v>87</v>
      </c>
      <c r="F28" s="11">
        <v>4740200.2330799997</v>
      </c>
      <c r="G28" s="11">
        <v>5360720.7470299993</v>
      </c>
      <c r="H28" s="12">
        <v>0.14171677147566658</v>
      </c>
      <c r="I28" s="12">
        <v>0.12531260345028758</v>
      </c>
      <c r="J28" s="13" t="s">
        <v>62</v>
      </c>
      <c r="K28" s="11">
        <v>4735199.7023903895</v>
      </c>
      <c r="L28" s="11">
        <v>4851623.2700103894</v>
      </c>
      <c r="M28" s="12">
        <v>0.12944754052246005</v>
      </c>
      <c r="N28" s="12">
        <v>0.12634121019784128</v>
      </c>
      <c r="O28" s="11">
        <v>5729458.2517695213</v>
      </c>
      <c r="P28" s="11">
        <v>5539085.3989216108</v>
      </c>
      <c r="Q28" s="11">
        <v>7162206.2728411658</v>
      </c>
      <c r="R28" s="11">
        <v>5845881.8193895211</v>
      </c>
      <c r="S28" s="11">
        <v>5655508.9665416107</v>
      </c>
      <c r="T28" s="11">
        <v>7278629.8404611656</v>
      </c>
      <c r="U28" s="12">
        <v>0.15661185663452235</v>
      </c>
      <c r="V28" s="12">
        <v>0.15755000718098175</v>
      </c>
      <c r="W28" s="12">
        <v>0.19976989483693169</v>
      </c>
      <c r="X28" s="12">
        <v>0.15349285566181931</v>
      </c>
      <c r="Y28" s="12">
        <v>0.15430670334695334</v>
      </c>
      <c r="Z28" s="12">
        <v>0.19657452367920372</v>
      </c>
      <c r="AA28" s="11">
        <v>1879854.5208031032</v>
      </c>
      <c r="AB28" s="11">
        <v>64594.15040595457</v>
      </c>
      <c r="AC28" s="11">
        <v>1078651.5768886155</v>
      </c>
      <c r="AD28" s="11">
        <v>1996278.0884231033</v>
      </c>
      <c r="AE28" s="11">
        <v>129188.30081190914</v>
      </c>
      <c r="AF28" s="11">
        <v>1195075.1445086156</v>
      </c>
      <c r="AG28" s="12">
        <v>5.2391092314098595E-2</v>
      </c>
      <c r="AH28" s="12">
        <v>3.5644942184500702E-3</v>
      </c>
      <c r="AI28" s="12">
        <v>3.2797509701650594E-2</v>
      </c>
      <c r="AJ28" s="12">
        <v>4.9335627289416442E-2</v>
      </c>
      <c r="AK28" s="12">
        <v>1.7822471092250351E-3</v>
      </c>
      <c r="AL28" s="20">
        <v>2.9602394226223516E-2</v>
      </c>
      <c r="AM28" s="24">
        <v>0</v>
      </c>
      <c r="AN28" s="22">
        <v>0</v>
      </c>
      <c r="AO28" s="14">
        <v>0</v>
      </c>
      <c r="AP28" s="15"/>
      <c r="AQ28" s="15"/>
      <c r="AR28" s="24">
        <v>1631137.0070851357</v>
      </c>
      <c r="AS28" s="14">
        <v>0</v>
      </c>
      <c r="AT28" s="22">
        <v>0</v>
      </c>
      <c r="AU28" s="14">
        <v>0</v>
      </c>
      <c r="AV28" s="14">
        <v>1631137.0070851357</v>
      </c>
      <c r="AW28" s="14">
        <v>424415.27664445766</v>
      </c>
    </row>
    <row r="29" spans="1:49" ht="15.6" x14ac:dyDescent="0.3">
      <c r="B29" t="s">
        <v>107</v>
      </c>
      <c r="C29">
        <v>298</v>
      </c>
      <c r="D29" s="10">
        <v>16</v>
      </c>
      <c r="E29" s="10" t="s">
        <v>88</v>
      </c>
      <c r="F29" s="11">
        <v>1509061.8605500001</v>
      </c>
      <c r="G29" s="11">
        <v>1944123.01645</v>
      </c>
      <c r="H29" s="12">
        <v>0.14373310278001655</v>
      </c>
      <c r="I29" s="12">
        <v>0.11156811666162103</v>
      </c>
      <c r="J29" s="13" t="s">
        <v>62</v>
      </c>
      <c r="K29" s="11">
        <v>1509061.8605500001</v>
      </c>
      <c r="L29" s="11">
        <v>1918241.5023900005</v>
      </c>
      <c r="M29" s="12">
        <v>0.14211238043953006</v>
      </c>
      <c r="N29" s="12">
        <v>0.11179842213093001</v>
      </c>
      <c r="O29" s="11">
        <v>2810379.0961978193</v>
      </c>
      <c r="P29" s="11">
        <v>3765821.6212611701</v>
      </c>
      <c r="Q29" s="11">
        <v>4741280.5269388799</v>
      </c>
      <c r="R29" s="11">
        <v>2810379.0961978193</v>
      </c>
      <c r="S29" s="11">
        <v>3765821.6212611701</v>
      </c>
      <c r="T29" s="11">
        <v>4741280.5269388799</v>
      </c>
      <c r="U29" s="12">
        <v>0.20808688535178138</v>
      </c>
      <c r="V29" s="12">
        <v>0.27669676663803183</v>
      </c>
      <c r="W29" s="12">
        <v>0.34702739974265939</v>
      </c>
      <c r="X29" s="12">
        <v>0.20808688535178138</v>
      </c>
      <c r="Y29" s="12">
        <v>0.27669676663803183</v>
      </c>
      <c r="Z29" s="12">
        <v>0.34702739974265939</v>
      </c>
      <c r="AA29" s="11">
        <v>2400643.6277881102</v>
      </c>
      <c r="AB29" s="11">
        <v>3225863.9390659891</v>
      </c>
      <c r="AC29" s="11">
        <v>4137303.8649186073</v>
      </c>
      <c r="AD29" s="11">
        <v>2400643.6277881102</v>
      </c>
      <c r="AE29" s="11">
        <v>3225863.9390659891</v>
      </c>
      <c r="AF29" s="11">
        <v>4137303.8649186073</v>
      </c>
      <c r="AG29" s="12">
        <v>0.16880342928321257</v>
      </c>
      <c r="AH29" s="12">
        <v>0.22349622652353471</v>
      </c>
      <c r="AI29" s="12">
        <v>0.28290440240373743</v>
      </c>
      <c r="AJ29" s="12">
        <v>0.16880342928321257</v>
      </c>
      <c r="AK29" s="12">
        <v>0.22349622652353471</v>
      </c>
      <c r="AL29" s="20">
        <v>0.28290440240373743</v>
      </c>
      <c r="AM29" s="24">
        <v>0</v>
      </c>
      <c r="AN29" s="22">
        <v>0</v>
      </c>
      <c r="AO29" s="14">
        <v>0</v>
      </c>
      <c r="AP29" s="15"/>
      <c r="AQ29" s="15"/>
      <c r="AR29" s="24">
        <v>0</v>
      </c>
      <c r="AS29" s="14">
        <v>0</v>
      </c>
      <c r="AT29" s="22">
        <v>0</v>
      </c>
      <c r="AU29" s="14">
        <v>0</v>
      </c>
      <c r="AV29" s="14">
        <v>0</v>
      </c>
      <c r="AW29" s="14">
        <v>0</v>
      </c>
    </row>
    <row r="30" spans="1:49" ht="15.6" x14ac:dyDescent="0.3">
      <c r="B30" t="s">
        <v>104</v>
      </c>
      <c r="C30">
        <v>96</v>
      </c>
      <c r="D30" s="10">
        <v>22</v>
      </c>
      <c r="E30" s="10" t="s">
        <v>89</v>
      </c>
      <c r="F30" s="11">
        <v>356166.92160999996</v>
      </c>
      <c r="G30" s="11">
        <v>453940.27706999995</v>
      </c>
      <c r="H30" s="12">
        <v>0.13574101212216841</v>
      </c>
      <c r="I30" s="12">
        <v>0.10650400694962596</v>
      </c>
      <c r="J30" s="13" t="s">
        <v>62</v>
      </c>
      <c r="K30" s="11">
        <v>307711.52322999993</v>
      </c>
      <c r="L30" s="11">
        <v>349049.4145899929</v>
      </c>
      <c r="M30" s="12">
        <v>0.10330877228541731</v>
      </c>
      <c r="N30" s="12">
        <v>9.1073923502515877E-2</v>
      </c>
      <c r="O30" s="11">
        <v>1045701.135546446</v>
      </c>
      <c r="P30" s="11">
        <v>1672575.0685149943</v>
      </c>
      <c r="Q30" s="11">
        <v>2295044.5971406833</v>
      </c>
      <c r="R30" s="11">
        <v>1047452.319146446</v>
      </c>
      <c r="S30" s="11">
        <v>1674326.2521149945</v>
      </c>
      <c r="T30" s="11">
        <v>2296795.7807406834</v>
      </c>
      <c r="U30" s="12">
        <v>0.27937129995633908</v>
      </c>
      <c r="V30" s="12">
        <v>0.44213650668038718</v>
      </c>
      <c r="W30" s="12">
        <v>0.60721796624636337</v>
      </c>
      <c r="X30" s="12">
        <v>0.27890423293108974</v>
      </c>
      <c r="Y30" s="12">
        <v>0.44167407458360675</v>
      </c>
      <c r="Z30" s="12">
        <v>0.60675499511369568</v>
      </c>
      <c r="AA30" s="11">
        <v>733918.9848170093</v>
      </c>
      <c r="AB30" s="11">
        <v>1096815.2844200977</v>
      </c>
      <c r="AC30" s="11">
        <v>1656768.0500673102</v>
      </c>
      <c r="AD30" s="11">
        <v>735690.7705770093</v>
      </c>
      <c r="AE30" s="11">
        <v>1098587.0701800978</v>
      </c>
      <c r="AF30" s="11">
        <v>1658539.8358273103</v>
      </c>
      <c r="AG30" s="12">
        <v>0.20531782951763602</v>
      </c>
      <c r="AH30" s="12">
        <v>0.30893798027984393</v>
      </c>
      <c r="AI30" s="12">
        <v>0.44934234621740532</v>
      </c>
      <c r="AJ30" s="12">
        <v>0.2048233565390935</v>
      </c>
      <c r="AK30" s="12">
        <v>0.30843972945472425</v>
      </c>
      <c r="AL30" s="20">
        <v>0.44886232255249536</v>
      </c>
      <c r="AM30" s="24">
        <v>0</v>
      </c>
      <c r="AN30" s="22">
        <v>0</v>
      </c>
      <c r="AO30" s="14">
        <v>0</v>
      </c>
      <c r="AP30" s="15"/>
      <c r="AQ30" s="15"/>
      <c r="AR30" s="24">
        <v>0</v>
      </c>
      <c r="AS30" s="14">
        <v>0</v>
      </c>
      <c r="AT30" s="22">
        <v>0</v>
      </c>
      <c r="AU30" s="14">
        <v>0</v>
      </c>
      <c r="AV30" s="14">
        <v>0</v>
      </c>
      <c r="AW30" s="14">
        <v>0</v>
      </c>
    </row>
    <row r="31" spans="1:49" ht="15.6" x14ac:dyDescent="0.3">
      <c r="B31" t="s">
        <v>105</v>
      </c>
      <c r="C31">
        <v>320</v>
      </c>
      <c r="D31" s="10">
        <v>25</v>
      </c>
      <c r="E31" s="10" t="s">
        <v>90</v>
      </c>
      <c r="F31" s="11">
        <v>531063.62019000005</v>
      </c>
      <c r="G31" s="11">
        <v>560282.78461000009</v>
      </c>
      <c r="H31" s="12">
        <v>0.18968212335449378</v>
      </c>
      <c r="I31" s="12">
        <v>0.17979005937882195</v>
      </c>
      <c r="J31" s="13" t="s">
        <v>62</v>
      </c>
      <c r="K31" s="11">
        <v>-91677.017389999935</v>
      </c>
      <c r="L31" s="11">
        <v>-91677.017389999935</v>
      </c>
      <c r="M31" s="12">
        <v>-3.9638247741408179E-2</v>
      </c>
      <c r="N31" s="12">
        <v>-3.9638247741408179E-2</v>
      </c>
      <c r="O31" s="11">
        <v>-126639.13067799318</v>
      </c>
      <c r="P31" s="11">
        <v>-144042.28455497744</v>
      </c>
      <c r="Q31" s="11">
        <v>-111710.61644244241</v>
      </c>
      <c r="R31" s="11">
        <v>-126639.13067799318</v>
      </c>
      <c r="S31" s="11">
        <v>-144042.28455497744</v>
      </c>
      <c r="T31" s="11">
        <v>-111710.61644244241</v>
      </c>
      <c r="U31" s="12">
        <v>-5.8055140008984631E-2</v>
      </c>
      <c r="V31" s="12">
        <v>-6.6802083488783748E-2</v>
      </c>
      <c r="W31" s="12">
        <v>-5.1239104880189013E-2</v>
      </c>
      <c r="X31" s="12">
        <v>-5.8055140008984631E-2</v>
      </c>
      <c r="Y31" s="12">
        <v>-6.6802083488783748E-2</v>
      </c>
      <c r="Z31" s="12">
        <v>-5.1239104880189013E-2</v>
      </c>
      <c r="AA31" s="11">
        <v>-696461.10616923776</v>
      </c>
      <c r="AB31" s="11">
        <v>-854634.4712920452</v>
      </c>
      <c r="AC31" s="11">
        <v>-942580.58092899108</v>
      </c>
      <c r="AD31" s="11">
        <v>-696461.10616923776</v>
      </c>
      <c r="AE31" s="11">
        <v>-854634.4712920452</v>
      </c>
      <c r="AF31" s="11">
        <v>-942580.58092899108</v>
      </c>
      <c r="AG31" s="12">
        <v>-0.33524351442869849</v>
      </c>
      <c r="AH31" s="12">
        <v>-0.4118268801789558</v>
      </c>
      <c r="AI31" s="12">
        <v>-0.45788462961510012</v>
      </c>
      <c r="AJ31" s="12">
        <v>-0.33524351442869849</v>
      </c>
      <c r="AK31" s="12">
        <v>-0.4118268801789558</v>
      </c>
      <c r="AL31" s="20">
        <v>-0.45788462961510012</v>
      </c>
      <c r="AM31" s="24">
        <v>344775.07980910281</v>
      </c>
      <c r="AN31" s="22">
        <v>322961.25070949993</v>
      </c>
      <c r="AO31" s="14">
        <v>344775.07980910281</v>
      </c>
      <c r="AP31" s="15"/>
      <c r="AQ31" s="15"/>
      <c r="AR31" s="24">
        <v>1045508.3186127531</v>
      </c>
      <c r="AS31" s="14">
        <v>308456.68038981903</v>
      </c>
      <c r="AT31" s="22">
        <v>291575.69952793571</v>
      </c>
      <c r="AU31" s="14">
        <v>769172.84455279354</v>
      </c>
      <c r="AV31" s="14">
        <v>933752.52012812556</v>
      </c>
      <c r="AW31" s="14">
        <v>1045508.3186127531</v>
      </c>
    </row>
    <row r="32" spans="1:49" s="17" customFormat="1" ht="15.6" x14ac:dyDescent="0.3">
      <c r="A32" s="17" t="s">
        <v>65</v>
      </c>
      <c r="B32" s="17" t="s">
        <v>119</v>
      </c>
      <c r="C32" s="17">
        <v>3</v>
      </c>
      <c r="D32" s="18">
        <v>14</v>
      </c>
      <c r="E32" s="18" t="s">
        <v>91</v>
      </c>
      <c r="F32" s="11">
        <v>3139444.9796599969</v>
      </c>
      <c r="G32" s="11">
        <v>3945995.3518299973</v>
      </c>
      <c r="H32" s="12">
        <v>0.15745884363367901</v>
      </c>
      <c r="I32" s="12">
        <v>0.12527469803520414</v>
      </c>
      <c r="J32" s="13" t="s">
        <v>62</v>
      </c>
      <c r="K32" s="11">
        <v>2235861.9794000089</v>
      </c>
      <c r="L32" s="11">
        <v>2997270.3695300091</v>
      </c>
      <c r="M32" s="12">
        <v>0.12370974309916315</v>
      </c>
      <c r="N32" s="12">
        <v>9.2283270100899775E-2</v>
      </c>
      <c r="O32" s="11">
        <v>1565390.555460006</v>
      </c>
      <c r="P32" s="11">
        <v>1298099.9839208163</v>
      </c>
      <c r="Q32" s="11">
        <v>1314228.7419125005</v>
      </c>
      <c r="R32" s="11">
        <v>2326798.9455900062</v>
      </c>
      <c r="S32" s="11">
        <v>2059508.3740508165</v>
      </c>
      <c r="T32" s="11">
        <v>2075637.1320425007</v>
      </c>
      <c r="U32" s="12">
        <v>0.10250159686888341</v>
      </c>
      <c r="V32" s="12">
        <v>9.0824263417069687E-2</v>
      </c>
      <c r="W32" s="12">
        <v>9.0815130879865438E-2</v>
      </c>
      <c r="X32" s="12">
        <v>6.8959560069523945E-2</v>
      </c>
      <c r="Y32" s="12">
        <v>5.724617407086547E-2</v>
      </c>
      <c r="Z32" s="12">
        <v>5.7501310494199029E-2</v>
      </c>
      <c r="AA32" s="11">
        <v>483321.6017960161</v>
      </c>
      <c r="AB32" s="11">
        <v>-120536.10801551247</v>
      </c>
      <c r="AC32" s="11">
        <v>-135084.10459628876</v>
      </c>
      <c r="AD32" s="11">
        <v>965464.92559203214</v>
      </c>
      <c r="AE32" s="11">
        <v>-121714.38601551247</v>
      </c>
      <c r="AF32" s="11">
        <v>-136262.38259628875</v>
      </c>
      <c r="AG32" s="12">
        <v>4.6861831627847142E-2</v>
      </c>
      <c r="AH32" s="12">
        <v>-6.1234516682762748E-3</v>
      </c>
      <c r="AI32" s="12">
        <v>-6.9349111390482974E-3</v>
      </c>
      <c r="AJ32" s="12">
        <v>2.3459511500718171E-2</v>
      </c>
      <c r="AK32" s="12">
        <v>-6.0641724933078057E-3</v>
      </c>
      <c r="AL32" s="20">
        <v>-6.8749440881909468E-3</v>
      </c>
      <c r="AM32" s="24">
        <v>23618.115299005061</v>
      </c>
      <c r="AN32" s="22">
        <v>0</v>
      </c>
      <c r="AO32" s="14">
        <v>23618.115299005061</v>
      </c>
      <c r="AP32" s="13"/>
      <c r="AQ32" s="13"/>
      <c r="AR32" s="24">
        <v>945595.32375926094</v>
      </c>
      <c r="AS32" s="14">
        <v>430926.02315232018</v>
      </c>
      <c r="AT32" s="22">
        <v>571360.82597603567</v>
      </c>
      <c r="AU32" s="14">
        <v>237761.4464312543</v>
      </c>
      <c r="AV32" s="14">
        <v>878337.62556184991</v>
      </c>
      <c r="AW32" s="14">
        <v>945595.32375926094</v>
      </c>
    </row>
    <row r="33" spans="1:49" s="17" customFormat="1" ht="15.6" x14ac:dyDescent="0.3">
      <c r="A33" s="17" t="s">
        <v>65</v>
      </c>
      <c r="B33" s="17" t="s">
        <v>118</v>
      </c>
      <c r="C33" s="17">
        <v>42</v>
      </c>
      <c r="D33" s="18">
        <v>18</v>
      </c>
      <c r="E33" s="18" t="s">
        <v>92</v>
      </c>
      <c r="F33" s="11">
        <v>995146.29109999537</v>
      </c>
      <c r="G33" s="11">
        <v>1057315.9998499954</v>
      </c>
      <c r="H33" s="12">
        <v>8.2857515280137434E-2</v>
      </c>
      <c r="I33" s="12">
        <v>7.798553037359518E-2</v>
      </c>
      <c r="J33" s="13" t="s">
        <v>62</v>
      </c>
      <c r="K33" s="11">
        <v>-1447455.8466984034</v>
      </c>
      <c r="L33" s="11">
        <v>-1447455.8466984034</v>
      </c>
      <c r="M33" s="12">
        <v>-0.14893495479506472</v>
      </c>
      <c r="N33" s="12">
        <v>-0.14893495479506472</v>
      </c>
      <c r="O33" s="11">
        <v>-2533000.7856571823</v>
      </c>
      <c r="P33" s="11">
        <v>-3505885.6064705914</v>
      </c>
      <c r="Q33" s="11">
        <v>-4427396.1770215128</v>
      </c>
      <c r="R33" s="11">
        <v>-2533000.7856571823</v>
      </c>
      <c r="S33" s="11">
        <v>-3505885.6064705914</v>
      </c>
      <c r="T33" s="11">
        <v>-4427396.1770215128</v>
      </c>
      <c r="U33" s="12">
        <v>-0.32719902774690829</v>
      </c>
      <c r="V33" s="12">
        <v>-0.46501285003222415</v>
      </c>
      <c r="W33" s="12">
        <v>-0.59375390521673799</v>
      </c>
      <c r="X33" s="12">
        <v>-0.32719902774690829</v>
      </c>
      <c r="Y33" s="12">
        <v>-0.46501285003222415</v>
      </c>
      <c r="Z33" s="12">
        <v>-0.59375390521673799</v>
      </c>
      <c r="AA33" s="11">
        <v>-4243369.4790954143</v>
      </c>
      <c r="AB33" s="11">
        <v>-5880393.0390475262</v>
      </c>
      <c r="AC33" s="11">
        <v>-7332863.0321635399</v>
      </c>
      <c r="AD33" s="11">
        <v>-4243369.4790954143</v>
      </c>
      <c r="AE33" s="11">
        <v>-5880393.0390475262</v>
      </c>
      <c r="AF33" s="11">
        <v>-7332863.0321635399</v>
      </c>
      <c r="AG33" s="12">
        <v>-0.93435941150156232</v>
      </c>
      <c r="AH33" s="12">
        <v>-1.6319007613091798</v>
      </c>
      <c r="AI33" s="12">
        <v>-2.5517760978894271</v>
      </c>
      <c r="AJ33" s="12">
        <v>-0.93435941150156232</v>
      </c>
      <c r="AK33" s="12">
        <v>-1.6319007613091798</v>
      </c>
      <c r="AL33" s="20">
        <v>-2.5517760978894271</v>
      </c>
      <c r="AM33" s="24">
        <v>3282732.8865470262</v>
      </c>
      <c r="AN33" s="22">
        <v>2394912.2953346632</v>
      </c>
      <c r="AO33" s="14">
        <v>3282732.8865470262</v>
      </c>
      <c r="AP33" s="13"/>
      <c r="AQ33" s="13"/>
      <c r="AR33" s="24">
        <v>7451400.313050732</v>
      </c>
      <c r="AS33" s="14">
        <v>4080759.5642007012</v>
      </c>
      <c r="AT33" s="22">
        <v>5042567.1786689786</v>
      </c>
      <c r="AU33" s="14">
        <v>4402321.0880160797</v>
      </c>
      <c r="AV33" s="14">
        <v>6017772.7069348264</v>
      </c>
      <c r="AW33" s="14">
        <v>7451400.313050732</v>
      </c>
    </row>
    <row r="34" spans="1:49" ht="15.6" x14ac:dyDescent="0.3">
      <c r="A34" t="s">
        <v>65</v>
      </c>
      <c r="B34" t="s">
        <v>108</v>
      </c>
      <c r="C34">
        <v>115</v>
      </c>
      <c r="D34" s="10">
        <v>7</v>
      </c>
      <c r="E34" s="10" t="s">
        <v>93</v>
      </c>
      <c r="F34" s="11">
        <v>2798998.0466499995</v>
      </c>
      <c r="G34" s="11">
        <v>3519387.3167299991</v>
      </c>
      <c r="H34" s="12">
        <v>0.11764199874453042</v>
      </c>
      <c r="I34" s="12">
        <v>9.3561661464384951E-2</v>
      </c>
      <c r="J34" s="13" t="s">
        <v>62</v>
      </c>
      <c r="K34" s="11">
        <v>2256372.6259173946</v>
      </c>
      <c r="L34" s="11">
        <v>2976761.8959973948</v>
      </c>
      <c r="M34" s="12">
        <v>0.10145857447175355</v>
      </c>
      <c r="N34" s="12">
        <v>7.690516007023844E-2</v>
      </c>
      <c r="O34" s="11">
        <v>2189356.4250595504</v>
      </c>
      <c r="P34" s="11">
        <v>4108123.8323177341</v>
      </c>
      <c r="Q34" s="11">
        <v>6446972.3997719679</v>
      </c>
      <c r="R34" s="11">
        <v>2813285.6951395506</v>
      </c>
      <c r="S34" s="11">
        <v>4635593.1023977343</v>
      </c>
      <c r="T34" s="11">
        <v>6877981.6698519681</v>
      </c>
      <c r="U34" s="12">
        <v>0.10650992019503842</v>
      </c>
      <c r="V34" s="12">
        <v>0.17690934505969913</v>
      </c>
      <c r="W34" s="12">
        <v>0.26110188991317063</v>
      </c>
      <c r="X34" s="12">
        <v>8.2888196714063278E-2</v>
      </c>
      <c r="Y34" s="12">
        <v>0.15677939813646635</v>
      </c>
      <c r="Z34" s="12">
        <v>0.24473991915054627</v>
      </c>
      <c r="AA34" s="11">
        <v>-1300197.4202382723</v>
      </c>
      <c r="AB34" s="11">
        <v>-835345.96920797136</v>
      </c>
      <c r="AC34" s="11">
        <v>1091695.9464365933</v>
      </c>
      <c r="AD34" s="11">
        <v>-1306953.4202382723</v>
      </c>
      <c r="AE34" s="11">
        <v>-842101.96920797136</v>
      </c>
      <c r="AF34" s="11">
        <v>1522705.2165165932</v>
      </c>
      <c r="AG34" s="12">
        <v>-4.9153472905214483E-2</v>
      </c>
      <c r="AH34" s="12">
        <v>-3.264362383685035E-2</v>
      </c>
      <c r="AI34" s="12">
        <v>5.7930545326796312E-2</v>
      </c>
      <c r="AJ34" s="12">
        <v>-4.8899385148294207E-2</v>
      </c>
      <c r="AK34" s="12">
        <v>-3.2381731179302965E-2</v>
      </c>
      <c r="AL34" s="20">
        <v>4.1533016911048125E-2</v>
      </c>
      <c r="AM34" s="24">
        <v>0</v>
      </c>
      <c r="AN34" s="22">
        <v>0</v>
      </c>
      <c r="AO34" s="14">
        <v>0</v>
      </c>
      <c r="AP34" s="15"/>
      <c r="AQ34" s="15"/>
      <c r="AR34" s="24">
        <v>2230820.7720520725</v>
      </c>
      <c r="AS34" s="14">
        <v>0</v>
      </c>
      <c r="AT34" s="22">
        <v>0</v>
      </c>
      <c r="AU34" s="14">
        <v>2230820.7720520725</v>
      </c>
      <c r="AV34" s="14">
        <v>1818850.0598234083</v>
      </c>
      <c r="AW34" s="14">
        <v>0</v>
      </c>
    </row>
    <row r="35" spans="1:49" ht="15.6" x14ac:dyDescent="0.3">
      <c r="A35" t="s">
        <v>65</v>
      </c>
      <c r="B35" t="s">
        <v>103</v>
      </c>
      <c r="C35">
        <v>242</v>
      </c>
      <c r="D35" s="10">
        <v>24</v>
      </c>
      <c r="E35" s="10" t="s">
        <v>94</v>
      </c>
      <c r="F35" s="11">
        <v>413326.0580100012</v>
      </c>
      <c r="G35" s="11">
        <v>413326.0580100012</v>
      </c>
      <c r="H35" s="12">
        <v>0.14592146166291617</v>
      </c>
      <c r="I35" s="12">
        <v>0.14592146166291617</v>
      </c>
      <c r="J35" s="13" t="s">
        <v>62</v>
      </c>
      <c r="K35" s="11">
        <v>-247479.40723999869</v>
      </c>
      <c r="L35" s="11">
        <v>-247479.40723999869</v>
      </c>
      <c r="M35" s="12">
        <v>-0.11143879824257968</v>
      </c>
      <c r="N35" s="12">
        <v>-0.11143879824257968</v>
      </c>
      <c r="O35" s="11">
        <v>-229152.40381878801</v>
      </c>
      <c r="P35" s="11">
        <v>-188517.72753379983</v>
      </c>
      <c r="Q35" s="11">
        <v>-149082.43397992686</v>
      </c>
      <c r="R35" s="11">
        <v>-229152.40381878801</v>
      </c>
      <c r="S35" s="11">
        <v>-188517.72753379983</v>
      </c>
      <c r="T35" s="11">
        <v>-149082.43397992686</v>
      </c>
      <c r="U35" s="12">
        <v>-0.1058490153451573</v>
      </c>
      <c r="V35" s="12">
        <v>-8.8189406326412173E-2</v>
      </c>
      <c r="W35" s="12">
        <v>-7.0657206469458916E-2</v>
      </c>
      <c r="X35" s="12">
        <v>-0.1058490153451573</v>
      </c>
      <c r="Y35" s="12">
        <v>-8.8189406326412173E-2</v>
      </c>
      <c r="Z35" s="12">
        <v>-7.0657206469458916E-2</v>
      </c>
      <c r="AA35" s="11">
        <v>-630869.72864316311</v>
      </c>
      <c r="AB35" s="11">
        <v>-736158.18121817266</v>
      </c>
      <c r="AC35" s="11">
        <v>-761183.93227969867</v>
      </c>
      <c r="AD35" s="11">
        <v>-630869.72864316311</v>
      </c>
      <c r="AE35" s="11">
        <v>-736158.18121817266</v>
      </c>
      <c r="AF35" s="11">
        <v>-761183.93227969867</v>
      </c>
      <c r="AG35" s="12">
        <v>-0.31293407111960908</v>
      </c>
      <c r="AH35" s="12">
        <v>-0.38538385125349656</v>
      </c>
      <c r="AI35" s="12">
        <v>-0.41327237872763456</v>
      </c>
      <c r="AJ35" s="12">
        <v>-0.31293407111960908</v>
      </c>
      <c r="AK35" s="12">
        <v>-0.38538385125349656</v>
      </c>
      <c r="AL35" s="20">
        <v>-0.41327237872763456</v>
      </c>
      <c r="AM35" s="24">
        <v>469555.92918999871</v>
      </c>
      <c r="AN35" s="22">
        <v>469555.92918999871</v>
      </c>
      <c r="AO35" s="14">
        <v>445642.2814728762</v>
      </c>
      <c r="AP35" s="15"/>
      <c r="AQ35" s="15"/>
      <c r="AR35" s="24">
        <v>853276.21468957071</v>
      </c>
      <c r="AS35" s="14">
        <v>351513.23145236034</v>
      </c>
      <c r="AT35" s="22">
        <v>323152.44633825938</v>
      </c>
      <c r="AU35" s="14">
        <v>701429.12929746625</v>
      </c>
      <c r="AV35" s="14">
        <v>808984.35327404749</v>
      </c>
      <c r="AW35" s="14">
        <v>853276.21468957071</v>
      </c>
    </row>
    <row r="36" spans="1:49" ht="15.6" x14ac:dyDescent="0.3">
      <c r="B36" t="s">
        <v>117</v>
      </c>
      <c r="C36">
        <v>270</v>
      </c>
      <c r="D36" s="10">
        <v>19</v>
      </c>
      <c r="E36" s="10" t="s">
        <v>95</v>
      </c>
      <c r="F36" s="11">
        <v>802020.21583000012</v>
      </c>
      <c r="G36" s="11">
        <v>897673.78424000018</v>
      </c>
      <c r="H36" s="12">
        <v>0.12760193809487122</v>
      </c>
      <c r="I36" s="12">
        <v>0.11400503805268052</v>
      </c>
      <c r="J36" s="13" t="s">
        <v>62</v>
      </c>
      <c r="K36" s="11">
        <v>639956.80655530095</v>
      </c>
      <c r="L36" s="11">
        <v>735610.37496530102</v>
      </c>
      <c r="M36" s="12">
        <v>0.107303814495964</v>
      </c>
      <c r="N36" s="12">
        <v>9.3350785678190995E-2</v>
      </c>
      <c r="O36" s="11">
        <v>-271106.97378812591</v>
      </c>
      <c r="P36" s="11">
        <v>-646383.83187958086</v>
      </c>
      <c r="Q36" s="11">
        <v>-990763.74641793407</v>
      </c>
      <c r="R36" s="11">
        <v>-271436.97378812591</v>
      </c>
      <c r="S36" s="11">
        <v>-646713.83187958086</v>
      </c>
      <c r="T36" s="11">
        <v>-991093.74641793407</v>
      </c>
      <c r="U36" s="12">
        <v>-4.8163863742655223E-2</v>
      </c>
      <c r="V36" s="12">
        <v>-0.11464073762901358</v>
      </c>
      <c r="W36" s="12">
        <v>-0.17556222721440787</v>
      </c>
      <c r="X36" s="12">
        <v>-4.810530843674659E-2</v>
      </c>
      <c r="Y36" s="12">
        <v>-0.1145822396635261</v>
      </c>
      <c r="Z36" s="12">
        <v>-0.17550377105403941</v>
      </c>
      <c r="AA36" s="11">
        <v>-1225866.752568</v>
      </c>
      <c r="AB36" s="11">
        <v>-1978361.3329400513</v>
      </c>
      <c r="AC36" s="11">
        <v>-2620655.4860311835</v>
      </c>
      <c r="AD36" s="11">
        <v>-1226196.752568</v>
      </c>
      <c r="AE36" s="11">
        <v>-1978691.3329400513</v>
      </c>
      <c r="AF36" s="11">
        <v>-2620985.4860311835</v>
      </c>
      <c r="AG36" s="12">
        <v>-0.22269270411779837</v>
      </c>
      <c r="AH36" s="12">
        <v>-0.36079986274672399</v>
      </c>
      <c r="AI36" s="12">
        <v>-0.47946215571243211</v>
      </c>
      <c r="AJ36" s="12">
        <v>-0.22263277198031312</v>
      </c>
      <c r="AK36" s="12">
        <v>-0.36073968966529169</v>
      </c>
      <c r="AL36" s="20">
        <v>-0.47940178814754919</v>
      </c>
      <c r="AM36" s="24">
        <v>739023.17054157564</v>
      </c>
      <c r="AN36" s="22">
        <v>0</v>
      </c>
      <c r="AO36" s="14">
        <v>739023.17054157564</v>
      </c>
      <c r="AP36" s="15"/>
      <c r="AQ36" s="15"/>
      <c r="AR36" s="24">
        <v>2846149.0938387434</v>
      </c>
      <c r="AS36" s="14">
        <v>1076526.9965231589</v>
      </c>
      <c r="AT36" s="22">
        <v>1456497.3804508552</v>
      </c>
      <c r="AU36" s="14">
        <v>1418584.7246717385</v>
      </c>
      <c r="AV36" s="14">
        <v>2187445.6892755623</v>
      </c>
      <c r="AW36" s="14">
        <v>2846149.0938387434</v>
      </c>
    </row>
    <row r="37" spans="1:49" ht="15.6" x14ac:dyDescent="0.3">
      <c r="A37" t="s">
        <v>65</v>
      </c>
      <c r="B37" t="s">
        <v>111</v>
      </c>
      <c r="C37">
        <v>136</v>
      </c>
      <c r="D37" s="10">
        <v>20</v>
      </c>
      <c r="E37" s="10" t="s">
        <v>96</v>
      </c>
      <c r="F37" s="11">
        <v>510929.78735999996</v>
      </c>
      <c r="G37" s="11">
        <v>675432.92651999998</v>
      </c>
      <c r="H37" s="12">
        <v>8.7069858145276818E-2</v>
      </c>
      <c r="I37" s="12">
        <v>6.5863807287035434E-2</v>
      </c>
      <c r="J37" s="13" t="s">
        <v>62</v>
      </c>
      <c r="K37" s="11">
        <v>356486.30214661371</v>
      </c>
      <c r="L37" s="11">
        <v>520989.44130661373</v>
      </c>
      <c r="M37" s="12">
        <v>6.8552047503601665E-2</v>
      </c>
      <c r="N37" s="12">
        <v>4.6906643362769687E-2</v>
      </c>
      <c r="O37" s="11">
        <v>-264156.27788144327</v>
      </c>
      <c r="P37" s="11">
        <v>-606500.36678249016</v>
      </c>
      <c r="Q37" s="11">
        <v>-626145.47106189025</v>
      </c>
      <c r="R37" s="11">
        <v>-264186.27788144327</v>
      </c>
      <c r="S37" s="11">
        <v>-606530.36678249016</v>
      </c>
      <c r="T37" s="11">
        <v>-626175.47106189025</v>
      </c>
      <c r="U37" s="12">
        <v>-3.7093347171026352E-2</v>
      </c>
      <c r="V37" s="12">
        <v>-8.7479983705339867E-2</v>
      </c>
      <c r="W37" s="12">
        <v>-8.9113242618827915E-2</v>
      </c>
      <c r="X37" s="12">
        <v>-3.7089134990045361E-2</v>
      </c>
      <c r="Y37" s="12">
        <v>-8.7475656799953283E-2</v>
      </c>
      <c r="Z37" s="12">
        <v>-8.9108973212883233E-2</v>
      </c>
      <c r="AA37" s="11">
        <v>-1205752.2190204128</v>
      </c>
      <c r="AB37" s="11">
        <v>-2162606.9105318924</v>
      </c>
      <c r="AC37" s="11">
        <v>-2394607.1758232811</v>
      </c>
      <c r="AD37" s="11">
        <v>-1205782.2190204128</v>
      </c>
      <c r="AE37" s="11">
        <v>-2162636.9105318924</v>
      </c>
      <c r="AF37" s="11">
        <v>-2394637.1758232811</v>
      </c>
      <c r="AG37" s="12">
        <v>-0.16419425419437975</v>
      </c>
      <c r="AH37" s="12">
        <v>-0.30962893914090911</v>
      </c>
      <c r="AI37" s="12">
        <v>-0.33649721536027233</v>
      </c>
      <c r="AJ37" s="12">
        <v>-0.16419016902249037</v>
      </c>
      <c r="AK37" s="12">
        <v>-0.30962464398247125</v>
      </c>
      <c r="AL37" s="20">
        <v>-0.3364929997252013</v>
      </c>
      <c r="AM37" s="24">
        <v>839743.20221778785</v>
      </c>
      <c r="AN37" s="22">
        <v>239001.63157744764</v>
      </c>
      <c r="AO37" s="14">
        <v>839743.20221778785</v>
      </c>
      <c r="AP37" s="15"/>
      <c r="AQ37" s="15"/>
      <c r="AR37" s="24">
        <v>2688157.2528928709</v>
      </c>
      <c r="AS37" s="14">
        <v>1135169.1948762685</v>
      </c>
      <c r="AT37" s="22">
        <v>1205851.414246717</v>
      </c>
      <c r="AU37" s="14">
        <v>1462779.3474834682</v>
      </c>
      <c r="AV37" s="14">
        <v>2428895.1084076925</v>
      </c>
      <c r="AW37" s="14">
        <v>2688157.2528928709</v>
      </c>
    </row>
    <row r="38" spans="1:49" ht="15.6" x14ac:dyDescent="0.3">
      <c r="D38" s="10">
        <v>21</v>
      </c>
      <c r="E38" s="10" t="s">
        <v>97</v>
      </c>
      <c r="F38" s="11">
        <v>2724539.6090300027</v>
      </c>
      <c r="G38" s="11">
        <v>4269076.2184700025</v>
      </c>
      <c r="H38" s="12">
        <v>0.10545466595680952</v>
      </c>
      <c r="I38" s="12">
        <v>6.7301542453914426E-2</v>
      </c>
      <c r="J38" s="13" t="s">
        <v>62</v>
      </c>
      <c r="K38" s="11">
        <v>2438985.8346337229</v>
      </c>
      <c r="L38" s="11">
        <v>3935026.7219637227</v>
      </c>
      <c r="M38" s="12">
        <v>9.7467536024517118E-2</v>
      </c>
      <c r="N38" s="12">
        <v>6.0411772650381737E-2</v>
      </c>
      <c r="O38" s="11">
        <v>2448254.192251455</v>
      </c>
      <c r="P38" s="11">
        <v>3393488.6844456149</v>
      </c>
      <c r="Q38" s="11">
        <v>4917649.0245738206</v>
      </c>
      <c r="R38" s="11">
        <v>3969265.9185494264</v>
      </c>
      <c r="S38" s="11">
        <v>4944465.4175051525</v>
      </c>
      <c r="T38" s="11">
        <v>6188952.3611920765</v>
      </c>
      <c r="U38" s="12">
        <v>0.1061241375672754</v>
      </c>
      <c r="V38" s="12">
        <v>0.1325768440219981</v>
      </c>
      <c r="W38" s="12">
        <v>0.16483432173721307</v>
      </c>
      <c r="X38" s="12">
        <v>6.5457661449173782E-2</v>
      </c>
      <c r="Y38" s="12">
        <v>9.0990224831053332E-2</v>
      </c>
      <c r="Z38" s="12">
        <v>0.1309748878647308</v>
      </c>
      <c r="AA38" s="11">
        <v>-880849.96578988992</v>
      </c>
      <c r="AB38" s="11">
        <v>-1191882.1626180289</v>
      </c>
      <c r="AC38" s="11">
        <v>-103420.93963945471</v>
      </c>
      <c r="AD38" s="11">
        <v>-881179.96578988992</v>
      </c>
      <c r="AE38" s="11">
        <v>-1192212.1626180289</v>
      </c>
      <c r="AF38" s="11">
        <v>-103750.93963945471</v>
      </c>
      <c r="AG38" s="12">
        <v>-2.2442540840443278E-2</v>
      </c>
      <c r="AH38" s="12">
        <v>-3.0189196521710253E-2</v>
      </c>
      <c r="AI38" s="12">
        <v>-2.5698038137890317E-3</v>
      </c>
      <c r="AJ38" s="12">
        <v>-2.2434136157217521E-2</v>
      </c>
      <c r="AK38" s="12">
        <v>-3.0180840261671529E-2</v>
      </c>
      <c r="AL38" s="20">
        <v>-2.5616300539995072E-3</v>
      </c>
      <c r="AM38" s="24">
        <v>387102.54076311784</v>
      </c>
      <c r="AN38" s="22">
        <v>387102.54076311784</v>
      </c>
      <c r="AO38" s="14">
        <v>169893.01410226431</v>
      </c>
      <c r="AP38" s="15"/>
      <c r="AQ38" s="15"/>
      <c r="AR38" s="24">
        <v>2697489.9275390073</v>
      </c>
      <c r="AS38" s="14">
        <v>0</v>
      </c>
      <c r="AT38" s="22">
        <v>0</v>
      </c>
      <c r="AU38" s="14">
        <v>2255083.7934974744</v>
      </c>
      <c r="AV38" s="14">
        <v>2697489.9275390073</v>
      </c>
      <c r="AW38" s="14">
        <v>1768811.2068510556</v>
      </c>
    </row>
    <row r="39" spans="1:49" ht="15.6" x14ac:dyDescent="0.3">
      <c r="D39" s="18">
        <v>6</v>
      </c>
      <c r="E39" s="18" t="s">
        <v>34</v>
      </c>
      <c r="F39" s="11">
        <v>5142662.2361600008</v>
      </c>
      <c r="G39" s="11">
        <v>5309686.8676500004</v>
      </c>
      <c r="H39" s="12">
        <v>0.13977597466297564</v>
      </c>
      <c r="I39" s="12">
        <v>0.13537909943451765</v>
      </c>
      <c r="J39" s="13" t="s">
        <v>62</v>
      </c>
      <c r="K39" s="11">
        <v>5067841.4357900005</v>
      </c>
      <c r="L39" s="11">
        <v>5228931.4216200002</v>
      </c>
      <c r="M39" s="12">
        <v>0.13823891836284341</v>
      </c>
      <c r="N39" s="12">
        <v>0.13398013131733924</v>
      </c>
      <c r="O39" s="11">
        <v>5620300.1367360428</v>
      </c>
      <c r="P39" s="11">
        <v>7020808.8836110607</v>
      </c>
      <c r="Q39" s="11">
        <v>8526071.2226377092</v>
      </c>
      <c r="R39" s="11">
        <v>5766804.0844260426</v>
      </c>
      <c r="S39" s="11">
        <v>7167312.8313010605</v>
      </c>
      <c r="T39" s="11">
        <v>8672575.17032771</v>
      </c>
      <c r="U39" s="12">
        <v>0.15518012805097578</v>
      </c>
      <c r="V39" s="12">
        <v>0.19193651808508672</v>
      </c>
      <c r="W39" s="12">
        <v>0.23173220719584911</v>
      </c>
      <c r="X39" s="12">
        <v>0.15123782291459964</v>
      </c>
      <c r="Y39" s="12">
        <v>0.18801322657162925</v>
      </c>
      <c r="Z39" s="12">
        <v>0.22781760484368221</v>
      </c>
      <c r="AA39" s="11">
        <v>3045528.7508683149</v>
      </c>
      <c r="AB39" s="11">
        <v>3134496.9369950164</v>
      </c>
      <c r="AC39" s="11">
        <v>4105421.4988369532</v>
      </c>
      <c r="AD39" s="11">
        <v>3198212.851728315</v>
      </c>
      <c r="AE39" s="11">
        <v>3287181.0378550165</v>
      </c>
      <c r="AF39" s="11">
        <v>4258105.5996969528</v>
      </c>
      <c r="AG39" s="12">
        <v>8.1685873356017596E-2</v>
      </c>
      <c r="AH39" s="12">
        <v>8.2841048780952206E-2</v>
      </c>
      <c r="AI39" s="12">
        <v>0.10587472280669091</v>
      </c>
      <c r="AJ39" s="12">
        <v>7.778615351104623E-2</v>
      </c>
      <c r="AK39" s="12">
        <v>7.8993219622241609E-2</v>
      </c>
      <c r="AL39" s="20">
        <v>0.10207834282572197</v>
      </c>
      <c r="AM39" s="24">
        <v>0</v>
      </c>
      <c r="AN39" s="22">
        <v>0</v>
      </c>
      <c r="AO39" s="14">
        <v>0</v>
      </c>
      <c r="AP39" s="15"/>
      <c r="AQ39" s="15"/>
      <c r="AR39" s="24">
        <v>0</v>
      </c>
      <c r="AS39" s="14">
        <v>0</v>
      </c>
      <c r="AT39" s="22">
        <v>0</v>
      </c>
      <c r="AU39" s="14">
        <v>0</v>
      </c>
      <c r="AV39" s="14">
        <v>0</v>
      </c>
      <c r="AW39" s="14">
        <v>0</v>
      </c>
    </row>
    <row r="40" spans="1:49" ht="15.6" x14ac:dyDescent="0.3">
      <c r="D40" s="18">
        <v>3</v>
      </c>
      <c r="E40" s="18" t="s">
        <v>35</v>
      </c>
      <c r="F40" s="11">
        <v>6223292.6322399974</v>
      </c>
      <c r="G40" s="11">
        <v>10359600.648959996</v>
      </c>
      <c r="H40" s="12">
        <v>0.13913984035344065</v>
      </c>
      <c r="I40" s="12">
        <v>8.3585069797989311E-2</v>
      </c>
      <c r="J40" s="13" t="s">
        <v>62</v>
      </c>
      <c r="K40" s="11">
        <v>5590078.4820700027</v>
      </c>
      <c r="L40" s="11">
        <v>9434255.5496300012</v>
      </c>
      <c r="M40" s="12">
        <v>0.12688667575368281</v>
      </c>
      <c r="N40" s="12">
        <v>7.5184149089524505E-2</v>
      </c>
      <c r="O40" s="11">
        <v>7118687.1363417767</v>
      </c>
      <c r="P40" s="11">
        <v>9327830.4325437024</v>
      </c>
      <c r="Q40" s="11">
        <v>11673091.923314352</v>
      </c>
      <c r="R40" s="11">
        <v>11088466.325551704</v>
      </c>
      <c r="S40" s="11">
        <v>12643373.640792776</v>
      </c>
      <c r="T40" s="11">
        <v>14281960.388769832</v>
      </c>
      <c r="U40" s="12">
        <v>0.15020152995213415</v>
      </c>
      <c r="V40" s="12">
        <v>0.1706702498892089</v>
      </c>
      <c r="W40" s="12">
        <v>0.19167315809157159</v>
      </c>
      <c r="X40" s="12">
        <v>9.6427915974747022E-2</v>
      </c>
      <c r="Y40" s="12">
        <v>0.12591442727833355</v>
      </c>
      <c r="Z40" s="12">
        <v>0.1566604536583229</v>
      </c>
      <c r="AA40" s="11">
        <v>-5557314.5507652387</v>
      </c>
      <c r="AB40" s="11">
        <v>-8129551.7438630313</v>
      </c>
      <c r="AC40" s="11">
        <v>-7567182.6692404952</v>
      </c>
      <c r="AD40" s="11">
        <v>-5562891.3507652385</v>
      </c>
      <c r="AE40" s="11">
        <v>-8135128.5438630311</v>
      </c>
      <c r="AF40" s="11">
        <v>-7572759.469240495</v>
      </c>
      <c r="AG40" s="12">
        <v>-7.4736530469761114E-2</v>
      </c>
      <c r="AH40" s="12">
        <v>-0.10908916209025589</v>
      </c>
      <c r="AI40" s="12">
        <v>-0.10107501471775558</v>
      </c>
      <c r="AJ40" s="12">
        <v>-7.4661607078876202E-2</v>
      </c>
      <c r="AK40" s="12">
        <v>-0.10901437919827518</v>
      </c>
      <c r="AL40" s="20">
        <v>-0.10100058014151327</v>
      </c>
      <c r="AM40" s="24">
        <v>0</v>
      </c>
      <c r="AN40" s="22">
        <v>0</v>
      </c>
      <c r="AO40" s="14">
        <v>0</v>
      </c>
      <c r="AP40" s="15"/>
      <c r="AQ40" s="15"/>
      <c r="AR40" s="24">
        <v>10972655.218048407</v>
      </c>
      <c r="AS40" s="14">
        <v>0</v>
      </c>
      <c r="AT40" s="22">
        <v>0</v>
      </c>
      <c r="AU40" s="14">
        <v>8162482.2786886105</v>
      </c>
      <c r="AV40" s="14">
        <v>10972655.218048407</v>
      </c>
      <c r="AW40" s="14">
        <v>10657722.195536464</v>
      </c>
    </row>
    <row r="41" spans="1:49" ht="15.6" x14ac:dyDescent="0.3">
      <c r="D41" s="18">
        <v>1</v>
      </c>
      <c r="E41" s="18" t="s">
        <v>36</v>
      </c>
      <c r="F41" s="11">
        <v>17888588.131799996</v>
      </c>
      <c r="G41" s="11">
        <v>17569378.600799996</v>
      </c>
      <c r="H41" s="12">
        <v>0.17326515292898392</v>
      </c>
      <c r="I41" s="12">
        <v>0.17641312358075106</v>
      </c>
      <c r="J41" s="13" t="s">
        <v>62</v>
      </c>
      <c r="K41" s="11">
        <v>19399524.857390016</v>
      </c>
      <c r="L41" s="11">
        <v>19365988.328300018</v>
      </c>
      <c r="M41" s="12">
        <v>0.17973099662235195</v>
      </c>
      <c r="N41" s="12">
        <v>0.18004224093864599</v>
      </c>
      <c r="O41" s="11">
        <v>17800384.477594197</v>
      </c>
      <c r="P41" s="11">
        <v>27420255.38624388</v>
      </c>
      <c r="Q41" s="11">
        <v>38298374.797554344</v>
      </c>
      <c r="R41" s="11">
        <v>26759596.891964197</v>
      </c>
      <c r="S41" s="11">
        <v>36379467.80061388</v>
      </c>
      <c r="T41" s="11">
        <v>47257587.211924344</v>
      </c>
      <c r="U41" s="12">
        <v>0.32237362408246434</v>
      </c>
      <c r="V41" s="12">
        <v>0.43931181587911616</v>
      </c>
      <c r="W41" s="12">
        <v>0.56892173918878797</v>
      </c>
      <c r="X41" s="12">
        <v>0.21444173756692486</v>
      </c>
      <c r="Y41" s="12">
        <v>0.331122001333858</v>
      </c>
      <c r="Z41" s="12">
        <v>0.4610641228934933</v>
      </c>
      <c r="AA41" s="11">
        <v>4847670.6707009971</v>
      </c>
      <c r="AB41" s="11">
        <v>4444616.7852807045</v>
      </c>
      <c r="AC41" s="11">
        <v>9610923.2699614167</v>
      </c>
      <c r="AD41" s="11">
        <v>9262568.3394919951</v>
      </c>
      <c r="AE41" s="11">
        <v>8456460.5686514098</v>
      </c>
      <c r="AF41" s="11">
        <v>18570135.684331417</v>
      </c>
      <c r="AG41" s="12">
        <v>0.12798745332482817</v>
      </c>
      <c r="AH41" s="12">
        <v>0.12119584907155559</v>
      </c>
      <c r="AI41" s="12">
        <v>0.26606428484462596</v>
      </c>
      <c r="AJ41" s="12">
        <v>6.6983691883293603E-2</v>
      </c>
      <c r="AK41" s="12">
        <v>6.3699121011296447E-2</v>
      </c>
      <c r="AL41" s="20">
        <v>0.13770084774751729</v>
      </c>
      <c r="AM41" s="24">
        <v>0</v>
      </c>
      <c r="AN41" s="22">
        <v>0</v>
      </c>
      <c r="AO41" s="14">
        <v>0</v>
      </c>
      <c r="AP41" s="15"/>
      <c r="AQ41" s="15"/>
      <c r="AR41" s="24">
        <v>0</v>
      </c>
      <c r="AS41" s="14">
        <v>0</v>
      </c>
      <c r="AT41" s="22">
        <v>0</v>
      </c>
      <c r="AU41" s="14">
        <v>0</v>
      </c>
      <c r="AV41" s="14">
        <v>0</v>
      </c>
      <c r="AW41" s="14">
        <v>0</v>
      </c>
    </row>
    <row r="42" spans="1:49" ht="15.6" x14ac:dyDescent="0.3">
      <c r="D42" s="18">
        <v>2</v>
      </c>
      <c r="E42" s="18" t="s">
        <v>37</v>
      </c>
      <c r="F42" s="11">
        <v>10344342.775749996</v>
      </c>
      <c r="G42" s="11">
        <v>14055174.335239995</v>
      </c>
      <c r="H42" s="12">
        <v>0.18769826666154021</v>
      </c>
      <c r="I42" s="12">
        <v>0.13814237820536762</v>
      </c>
      <c r="J42" s="13" t="s">
        <v>62</v>
      </c>
      <c r="K42" s="11">
        <v>9122294.4693709984</v>
      </c>
      <c r="L42" s="11">
        <v>12833118.598410998</v>
      </c>
      <c r="M42" s="12">
        <v>0.17325823252434586</v>
      </c>
      <c r="N42" s="12">
        <v>0.12315888801382499</v>
      </c>
      <c r="O42" s="11">
        <v>12640492.698160432</v>
      </c>
      <c r="P42" s="11">
        <v>14411390.390893519</v>
      </c>
      <c r="Q42" s="11">
        <v>18191545.782332815</v>
      </c>
      <c r="R42" s="11">
        <v>16401258.505136374</v>
      </c>
      <c r="S42" s="11">
        <v>18232086.211392593</v>
      </c>
      <c r="T42" s="11">
        <v>21452894.809949327</v>
      </c>
      <c r="U42" s="12">
        <v>0.21949229764258121</v>
      </c>
      <c r="V42" s="12">
        <v>0.24782123225936159</v>
      </c>
      <c r="W42" s="12">
        <v>0.28636583623926543</v>
      </c>
      <c r="X42" s="12">
        <v>0.16916328614567097</v>
      </c>
      <c r="Y42" s="12">
        <v>0.19588808893467613</v>
      </c>
      <c r="Z42" s="12">
        <v>0.24283143447972388</v>
      </c>
      <c r="AA42" s="11">
        <v>1064377.3713108301</v>
      </c>
      <c r="AB42" s="11">
        <v>-3807355.1650880016</v>
      </c>
      <c r="AC42" s="11">
        <v>-3662544.4256389728</v>
      </c>
      <c r="AD42" s="11">
        <v>2071534.7426216602</v>
      </c>
      <c r="AE42" s="11">
        <v>-3864575.1650880016</v>
      </c>
      <c r="AF42" s="11">
        <v>-3719764.4256389728</v>
      </c>
      <c r="AG42" s="12">
        <v>3.0807080749983427E-2</v>
      </c>
      <c r="AH42" s="12">
        <v>-6.1358650182045643E-2</v>
      </c>
      <c r="AI42" s="12">
        <v>-6.0538864439248712E-2</v>
      </c>
      <c r="AJ42" s="12">
        <v>1.582901746795206E-2</v>
      </c>
      <c r="AK42" s="12">
        <v>-6.0450156540846997E-2</v>
      </c>
      <c r="AL42" s="20">
        <v>-5.9607613578485194E-2</v>
      </c>
      <c r="AM42" s="24">
        <v>0</v>
      </c>
      <c r="AN42" s="22">
        <v>0</v>
      </c>
      <c r="AO42" s="14">
        <v>0</v>
      </c>
      <c r="AP42" s="15"/>
      <c r="AQ42" s="15"/>
      <c r="AR42" s="24">
        <v>6208596.5178857669</v>
      </c>
      <c r="AS42" s="14">
        <v>0</v>
      </c>
      <c r="AT42" s="22">
        <v>0</v>
      </c>
      <c r="AU42" s="14">
        <v>1289098.330595691</v>
      </c>
      <c r="AV42" s="14">
        <v>6208596.5178857669</v>
      </c>
      <c r="AW42" s="14">
        <v>6197119.2641146155</v>
      </c>
    </row>
    <row r="43" spans="1:49" ht="15.6" x14ac:dyDescent="0.3">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1:49" ht="18" x14ac:dyDescent="0.3">
      <c r="D44" t="s">
        <v>99</v>
      </c>
      <c r="F44" s="4" t="s">
        <v>63</v>
      </c>
    </row>
    <row r="46" spans="1:49" x14ac:dyDescent="0.3">
      <c r="J46" s="28">
        <v>0</v>
      </c>
    </row>
  </sheetData>
  <mergeCells count="46">
    <mergeCell ref="O12:Z13"/>
    <mergeCell ref="K14:K15"/>
    <mergeCell ref="L14:L15"/>
    <mergeCell ref="M14:M15"/>
    <mergeCell ref="N14:N15"/>
    <mergeCell ref="O14:Q15"/>
    <mergeCell ref="R14:T15"/>
    <mergeCell ref="U14:W15"/>
    <mergeCell ref="X14:Z15"/>
    <mergeCell ref="D1:D3"/>
    <mergeCell ref="D12:D17"/>
    <mergeCell ref="E12:E17"/>
    <mergeCell ref="F12:I13"/>
    <mergeCell ref="J12:N13"/>
    <mergeCell ref="F16:I17"/>
    <mergeCell ref="J16:N17"/>
    <mergeCell ref="AT12:AT17"/>
    <mergeCell ref="AU12:AU17"/>
    <mergeCell ref="AV12:AV17"/>
    <mergeCell ref="AW12:AW17"/>
    <mergeCell ref="F14:F15"/>
    <mergeCell ref="G14:G15"/>
    <mergeCell ref="H14:H15"/>
    <mergeCell ref="I14:I15"/>
    <mergeCell ref="J14:J15"/>
    <mergeCell ref="AA12:AL13"/>
    <mergeCell ref="AM12:AM17"/>
    <mergeCell ref="AN12:AN17"/>
    <mergeCell ref="AO12:AO17"/>
    <mergeCell ref="AP12:AQ13"/>
    <mergeCell ref="AR12:AR17"/>
    <mergeCell ref="AG14:AI15"/>
    <mergeCell ref="AD17:AF17"/>
    <mergeCell ref="AG17:AI17"/>
    <mergeCell ref="AJ17:AL17"/>
    <mergeCell ref="AD14:AF15"/>
    <mergeCell ref="AS12:AS17"/>
    <mergeCell ref="AJ14:AL15"/>
    <mergeCell ref="AP14:AP17"/>
    <mergeCell ref="AQ14:AQ17"/>
    <mergeCell ref="O17:Q17"/>
    <mergeCell ref="R17:T17"/>
    <mergeCell ref="U17:W17"/>
    <mergeCell ref="X17:Z17"/>
    <mergeCell ref="AA14:AC15"/>
    <mergeCell ref="AA17:AC17"/>
  </mergeCells>
  <pageMargins left="0.17" right="0.19" top="0.74803149606299213" bottom="0.74803149606299213" header="0.31496062992125984" footer="0.31496062992125984"/>
  <pageSetup paperSize="9" scale="91" orientation="landscape" horizontalDpi="4294967293" verticalDpi="0" r:id="rId1"/>
  <colBreaks count="1" manualBreakCount="1">
    <brk id="26" min="11" max="43"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5"/>
  <sheetViews>
    <sheetView workbookViewId="0">
      <selection activeCell="E1" sqref="E1:E25"/>
    </sheetView>
  </sheetViews>
  <sheetFormatPr defaultRowHeight="14.4" x14ac:dyDescent="0.3"/>
  <cols>
    <col min="2" max="2" width="6.109375" bestFit="1" customWidth="1"/>
    <col min="3" max="3" width="18.44140625" style="1" bestFit="1" customWidth="1"/>
    <col min="4" max="4" width="19.109375" style="1" customWidth="1"/>
    <col min="5" max="5" width="15.88671875" bestFit="1" customWidth="1"/>
    <col min="6" max="6" width="26" bestFit="1" customWidth="1"/>
  </cols>
  <sheetData>
    <row r="1" spans="2:6" x14ac:dyDescent="0.3">
      <c r="B1" t="s">
        <v>0</v>
      </c>
      <c r="C1" s="1" t="s">
        <v>1</v>
      </c>
      <c r="D1" s="1" t="s">
        <v>2</v>
      </c>
      <c r="E1" t="s">
        <v>3</v>
      </c>
      <c r="F1" t="s">
        <v>4</v>
      </c>
    </row>
    <row r="2" spans="2:6" x14ac:dyDescent="0.3">
      <c r="B2">
        <v>1</v>
      </c>
      <c r="C2" s="1">
        <v>43318</v>
      </c>
      <c r="D2" s="1">
        <v>43321</v>
      </c>
      <c r="E2" t="s">
        <v>5</v>
      </c>
      <c r="F2" t="s">
        <v>6</v>
      </c>
    </row>
    <row r="3" spans="2:6" x14ac:dyDescent="0.3">
      <c r="B3">
        <v>1</v>
      </c>
      <c r="C3" s="1">
        <v>43318</v>
      </c>
      <c r="D3" s="1">
        <v>43321</v>
      </c>
      <c r="E3" t="s">
        <v>7</v>
      </c>
      <c r="F3" t="s">
        <v>8</v>
      </c>
    </row>
    <row r="4" spans="2:6" x14ac:dyDescent="0.3">
      <c r="B4">
        <v>1</v>
      </c>
      <c r="C4" s="1">
        <v>43318</v>
      </c>
      <c r="D4" s="1">
        <v>43321</v>
      </c>
      <c r="E4" t="s">
        <v>9</v>
      </c>
      <c r="F4" t="s">
        <v>10</v>
      </c>
    </row>
    <row r="5" spans="2:6" x14ac:dyDescent="0.3">
      <c r="B5">
        <v>1</v>
      </c>
      <c r="C5" s="1">
        <v>43318</v>
      </c>
      <c r="D5" s="1">
        <v>43321</v>
      </c>
      <c r="E5" t="s">
        <v>11</v>
      </c>
      <c r="F5" t="s">
        <v>12</v>
      </c>
    </row>
    <row r="6" spans="2:6" x14ac:dyDescent="0.3">
      <c r="B6">
        <v>1</v>
      </c>
      <c r="C6" s="1">
        <v>43318</v>
      </c>
      <c r="D6" s="1">
        <v>43321</v>
      </c>
      <c r="E6" t="s">
        <v>13</v>
      </c>
      <c r="F6" t="s">
        <v>14</v>
      </c>
    </row>
    <row r="7" spans="2:6" x14ac:dyDescent="0.3">
      <c r="B7">
        <v>2</v>
      </c>
      <c r="C7" s="1">
        <v>43322</v>
      </c>
      <c r="D7" s="1">
        <v>43326</v>
      </c>
      <c r="E7" t="s">
        <v>15</v>
      </c>
      <c r="F7" t="s">
        <v>16</v>
      </c>
    </row>
    <row r="8" spans="2:6" x14ac:dyDescent="0.3">
      <c r="B8">
        <v>2</v>
      </c>
      <c r="C8" s="1">
        <v>43322</v>
      </c>
      <c r="D8" s="1">
        <v>43326</v>
      </c>
      <c r="E8" t="s">
        <v>17</v>
      </c>
      <c r="F8" t="s">
        <v>12</v>
      </c>
    </row>
    <row r="9" spans="2:6" x14ac:dyDescent="0.3">
      <c r="B9">
        <v>2</v>
      </c>
      <c r="C9" s="1">
        <v>43322</v>
      </c>
      <c r="D9" s="1">
        <v>43326</v>
      </c>
      <c r="E9" t="s">
        <v>18</v>
      </c>
      <c r="F9" t="s">
        <v>19</v>
      </c>
    </row>
    <row r="10" spans="2:6" x14ac:dyDescent="0.3">
      <c r="B10">
        <v>2</v>
      </c>
      <c r="C10" s="1">
        <v>43322</v>
      </c>
      <c r="D10" s="1">
        <v>43326</v>
      </c>
      <c r="E10" t="s">
        <v>20</v>
      </c>
      <c r="F10" t="s">
        <v>8</v>
      </c>
    </row>
    <row r="11" spans="2:6" x14ac:dyDescent="0.3">
      <c r="B11">
        <v>2</v>
      </c>
      <c r="C11" s="1">
        <v>43322</v>
      </c>
      <c r="D11" s="1">
        <v>43326</v>
      </c>
      <c r="E11" t="s">
        <v>21</v>
      </c>
      <c r="F11" t="s">
        <v>22</v>
      </c>
    </row>
    <row r="12" spans="2:6" x14ac:dyDescent="0.3">
      <c r="B12">
        <v>2</v>
      </c>
      <c r="C12" s="1">
        <v>43322</v>
      </c>
      <c r="D12" s="1">
        <v>43326</v>
      </c>
      <c r="E12" t="s">
        <v>23</v>
      </c>
      <c r="F12" t="s">
        <v>6</v>
      </c>
    </row>
    <row r="13" spans="2:6" x14ac:dyDescent="0.3">
      <c r="B13">
        <v>3</v>
      </c>
      <c r="C13" s="1">
        <v>43325</v>
      </c>
      <c r="D13" s="1">
        <v>43326</v>
      </c>
      <c r="E13" t="s">
        <v>24</v>
      </c>
      <c r="F13" t="s">
        <v>22</v>
      </c>
    </row>
    <row r="14" spans="2:6" x14ac:dyDescent="0.3">
      <c r="B14">
        <v>3</v>
      </c>
      <c r="C14" s="1">
        <v>43325</v>
      </c>
      <c r="D14" s="1">
        <v>43326</v>
      </c>
      <c r="E14" t="s">
        <v>25</v>
      </c>
      <c r="F14" t="s">
        <v>26</v>
      </c>
    </row>
    <row r="15" spans="2:6" x14ac:dyDescent="0.3">
      <c r="B15">
        <v>3</v>
      </c>
      <c r="C15" s="1">
        <v>43325</v>
      </c>
      <c r="D15" s="1">
        <v>43328</v>
      </c>
      <c r="E15" t="s">
        <v>27</v>
      </c>
      <c r="F15" t="s">
        <v>14</v>
      </c>
    </row>
    <row r="16" spans="2:6" x14ac:dyDescent="0.3">
      <c r="B16">
        <v>4</v>
      </c>
      <c r="C16" s="1">
        <v>43327</v>
      </c>
      <c r="D16" s="1">
        <v>43328</v>
      </c>
      <c r="E16" t="s">
        <v>28</v>
      </c>
      <c r="F16" t="s">
        <v>6</v>
      </c>
    </row>
    <row r="17" spans="2:6" x14ac:dyDescent="0.3">
      <c r="B17">
        <v>4</v>
      </c>
      <c r="C17" s="1">
        <v>43327</v>
      </c>
      <c r="D17" s="1">
        <v>43328</v>
      </c>
      <c r="E17" t="s">
        <v>29</v>
      </c>
      <c r="F17" t="s">
        <v>12</v>
      </c>
    </row>
    <row r="18" spans="2:6" x14ac:dyDescent="0.3">
      <c r="B18">
        <v>4</v>
      </c>
      <c r="C18" s="1">
        <v>43327</v>
      </c>
      <c r="D18" s="1">
        <v>43328</v>
      </c>
      <c r="E18" t="s">
        <v>30</v>
      </c>
      <c r="F18" t="s">
        <v>26</v>
      </c>
    </row>
    <row r="19" spans="2:6" x14ac:dyDescent="0.3">
      <c r="B19">
        <v>5</v>
      </c>
      <c r="C19" s="1">
        <v>43328</v>
      </c>
      <c r="D19" s="1">
        <v>43328</v>
      </c>
      <c r="E19" t="s">
        <v>31</v>
      </c>
      <c r="F19" t="s">
        <v>26</v>
      </c>
    </row>
    <row r="20" spans="2:6" x14ac:dyDescent="0.3">
      <c r="B20">
        <v>5</v>
      </c>
      <c r="C20" s="1">
        <v>43328</v>
      </c>
      <c r="D20" s="1">
        <v>43328</v>
      </c>
      <c r="E20" t="s">
        <v>32</v>
      </c>
      <c r="F20" t="s">
        <v>26</v>
      </c>
    </row>
    <row r="21" spans="2:6" x14ac:dyDescent="0.3">
      <c r="B21" s="2">
        <v>6</v>
      </c>
      <c r="C21" s="3"/>
      <c r="D21" s="3"/>
      <c r="E21" s="2" t="s">
        <v>33</v>
      </c>
      <c r="F21" s="2" t="s">
        <v>10</v>
      </c>
    </row>
    <row r="22" spans="2:6" x14ac:dyDescent="0.3">
      <c r="B22" s="2">
        <v>6</v>
      </c>
      <c r="C22" s="3"/>
      <c r="D22" s="3"/>
      <c r="E22" s="2" t="s">
        <v>34</v>
      </c>
      <c r="F22" s="2" t="s">
        <v>12</v>
      </c>
    </row>
    <row r="23" spans="2:6" x14ac:dyDescent="0.3">
      <c r="B23" s="2">
        <v>6</v>
      </c>
      <c r="C23" s="3"/>
      <c r="D23" s="3"/>
      <c r="E23" s="2" t="s">
        <v>35</v>
      </c>
      <c r="F23" s="2" t="s">
        <v>10</v>
      </c>
    </row>
    <row r="24" spans="2:6" x14ac:dyDescent="0.3">
      <c r="B24" s="2">
        <v>6</v>
      </c>
      <c r="C24" s="3"/>
      <c r="D24" s="3"/>
      <c r="E24" s="2" t="s">
        <v>36</v>
      </c>
      <c r="F24" s="2" t="s">
        <v>14</v>
      </c>
    </row>
    <row r="25" spans="2:6" x14ac:dyDescent="0.3">
      <c r="B25" s="2">
        <v>6</v>
      </c>
      <c r="C25" s="3"/>
      <c r="D25" s="3"/>
      <c r="E25" s="2" t="s">
        <v>37</v>
      </c>
      <c r="F25" s="2" t="s">
        <v>38</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2</vt:i4>
      </vt:variant>
    </vt:vector>
  </HeadingPairs>
  <TitlesOfParts>
    <vt:vector size="11" baseType="lpstr">
      <vt:lpstr>Individual banks</vt:lpstr>
      <vt:lpstr>Comparison with 2018</vt:lpstr>
      <vt:lpstr>Comparison with group</vt:lpstr>
      <vt:lpstr>Comparison of banks</vt:lpstr>
      <vt:lpstr>Capital need</vt:lpstr>
      <vt:lpstr>Data table</vt:lpstr>
      <vt:lpstr>Data table 2018</vt:lpstr>
      <vt:lpstr>ST results (eng)</vt:lpstr>
      <vt:lpstr>List</vt:lpstr>
      <vt:lpstr>'ST results (eng)'!Заголовки_для_друку</vt:lpstr>
      <vt:lpstr>'ST results (eng)'!Область_друку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2019-12-28T09:56:48Z</dcterms:modified>
</cp:coreProperties>
</file>