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harts/chart1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trlProps/ctrlProp17.xml" ContentType="application/vnd.ms-excel.controlproperties+xml"/>
  <Override PartName="/xl/drawings/drawing7.xml" ContentType="application/vnd.openxmlformats-officedocument.drawing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ЦяКнига"/>
  <bookViews>
    <workbookView xWindow="0" yWindow="0" windowWidth="19200" windowHeight="5890" tabRatio="722"/>
  </bookViews>
  <sheets>
    <sheet name="Individual banks" sheetId="7" r:id="rId1"/>
    <sheet name="Comparison with 2019" sheetId="24" r:id="rId2"/>
    <sheet name="Comparison of banks" sheetId="14" r:id="rId3"/>
    <sheet name="Comparison with group" sheetId="11" r:id="rId4"/>
    <sheet name="Capital need" sheetId="15" r:id="rId5"/>
    <sheet name="Data table" sheetId="6" r:id="rId6"/>
    <sheet name="Data table 2019" sheetId="25" r:id="rId7"/>
  </sheets>
  <externalReferences>
    <externalReference r:id="rId8"/>
  </externalReferences>
  <definedNames>
    <definedName name="_xlnm._FilterDatabase" localSheetId="5" hidden="1">'Data table'!$A$9:$BA$9</definedName>
    <definedName name="_xlnm._FilterDatabase" localSheetId="6" hidden="1">'Data table 2019'!$A$9:$BE$9</definedName>
    <definedName name="LANG">[1]intro!$C$6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6" l="1"/>
  <c r="BA38" i="25" l="1"/>
  <c r="AS38" i="25"/>
  <c r="AR38" i="25"/>
  <c r="AQ38" i="25"/>
  <c r="AD38" i="25"/>
  <c r="AC38" i="25"/>
  <c r="AB38" i="25"/>
  <c r="O38" i="25"/>
  <c r="I38" i="25"/>
  <c r="BA37" i="25"/>
  <c r="AS37" i="25"/>
  <c r="AR37" i="25"/>
  <c r="AQ37" i="25"/>
  <c r="AD37" i="25"/>
  <c r="AC37" i="25"/>
  <c r="AB37" i="25"/>
  <c r="O37" i="25"/>
  <c r="I37" i="25"/>
  <c r="BA36" i="25"/>
  <c r="AS36" i="25"/>
  <c r="AR36" i="25"/>
  <c r="AQ36" i="25"/>
  <c r="AD36" i="25"/>
  <c r="AC36" i="25"/>
  <c r="AB36" i="25"/>
  <c r="O36" i="25"/>
  <c r="I36" i="25"/>
  <c r="BA35" i="25"/>
  <c r="AS35" i="25"/>
  <c r="AR35" i="25"/>
  <c r="AQ35" i="25"/>
  <c r="AD35" i="25"/>
  <c r="AC35" i="25"/>
  <c r="AB35" i="25"/>
  <c r="O35" i="25"/>
  <c r="I35" i="25"/>
  <c r="BA34" i="25"/>
  <c r="AS34" i="25"/>
  <c r="AR34" i="25"/>
  <c r="AQ34" i="25"/>
  <c r="AD34" i="25"/>
  <c r="AC34" i="25"/>
  <c r="AB34" i="25"/>
  <c r="O34" i="25"/>
  <c r="I34" i="25"/>
  <c r="BA33" i="25"/>
  <c r="AS33" i="25"/>
  <c r="AR33" i="25"/>
  <c r="AQ33" i="25"/>
  <c r="AD33" i="25"/>
  <c r="AC33" i="25"/>
  <c r="AB33" i="25"/>
  <c r="O33" i="25"/>
  <c r="I33" i="25"/>
  <c r="BA32" i="25"/>
  <c r="AS32" i="25"/>
  <c r="AR32" i="25"/>
  <c r="AQ32" i="25"/>
  <c r="AD32" i="25"/>
  <c r="AC32" i="25"/>
  <c r="AB32" i="25"/>
  <c r="O32" i="25"/>
  <c r="I32" i="25"/>
  <c r="BA31" i="25"/>
  <c r="AS31" i="25"/>
  <c r="AR31" i="25"/>
  <c r="AQ31" i="25"/>
  <c r="AD31" i="25"/>
  <c r="AC31" i="25"/>
  <c r="AB31" i="25"/>
  <c r="O31" i="25"/>
  <c r="I31" i="25"/>
  <c r="BA30" i="25"/>
  <c r="AS30" i="25"/>
  <c r="AR30" i="25"/>
  <c r="AQ30" i="25"/>
  <c r="AD30" i="25"/>
  <c r="AC30" i="25"/>
  <c r="AB30" i="25"/>
  <c r="O30" i="25"/>
  <c r="I30" i="25"/>
  <c r="BA29" i="25"/>
  <c r="AS29" i="25"/>
  <c r="AR29" i="25"/>
  <c r="AQ29" i="25"/>
  <c r="AD29" i="25"/>
  <c r="AC29" i="25"/>
  <c r="AB29" i="25"/>
  <c r="O29" i="25"/>
  <c r="I29" i="25"/>
  <c r="BA28" i="25"/>
  <c r="AS28" i="25"/>
  <c r="AR28" i="25"/>
  <c r="AQ28" i="25"/>
  <c r="AD28" i="25"/>
  <c r="AC28" i="25"/>
  <c r="AB28" i="25"/>
  <c r="O28" i="25"/>
  <c r="I28" i="25"/>
  <c r="BA27" i="25"/>
  <c r="AS27" i="25"/>
  <c r="AR27" i="25"/>
  <c r="AQ27" i="25"/>
  <c r="AD27" i="25"/>
  <c r="AC27" i="25"/>
  <c r="AB27" i="25"/>
  <c r="O27" i="25"/>
  <c r="I27" i="25"/>
  <c r="BA26" i="25"/>
  <c r="AS26" i="25"/>
  <c r="AR26" i="25"/>
  <c r="AQ26" i="25"/>
  <c r="AD26" i="25"/>
  <c r="AC26" i="25"/>
  <c r="AB26" i="25"/>
  <c r="O26" i="25"/>
  <c r="I26" i="25"/>
  <c r="BA25" i="25"/>
  <c r="AS25" i="25"/>
  <c r="AR25" i="25"/>
  <c r="AQ25" i="25"/>
  <c r="AD25" i="25"/>
  <c r="AC25" i="25"/>
  <c r="AB25" i="25"/>
  <c r="O25" i="25"/>
  <c r="I25" i="25"/>
  <c r="BA24" i="25"/>
  <c r="AS24" i="25"/>
  <c r="AR24" i="25"/>
  <c r="AQ24" i="25"/>
  <c r="AD24" i="25"/>
  <c r="AC24" i="25"/>
  <c r="AB24" i="25"/>
  <c r="O24" i="25"/>
  <c r="I24" i="25"/>
  <c r="BA23" i="25"/>
  <c r="AS23" i="25"/>
  <c r="AR23" i="25"/>
  <c r="AQ23" i="25"/>
  <c r="AD23" i="25"/>
  <c r="AC23" i="25"/>
  <c r="AB23" i="25"/>
  <c r="O23" i="25"/>
  <c r="I23" i="25"/>
  <c r="BA22" i="25"/>
  <c r="AS22" i="25"/>
  <c r="AR22" i="25"/>
  <c r="AQ22" i="25"/>
  <c r="AD22" i="25"/>
  <c r="AC22" i="25"/>
  <c r="AB22" i="25"/>
  <c r="O22" i="25"/>
  <c r="I22" i="25"/>
  <c r="BA21" i="25"/>
  <c r="AS21" i="25"/>
  <c r="AR21" i="25"/>
  <c r="AQ21" i="25"/>
  <c r="AD21" i="25"/>
  <c r="AC21" i="25"/>
  <c r="AB21" i="25"/>
  <c r="O21" i="25"/>
  <c r="I21" i="25"/>
  <c r="BA20" i="25"/>
  <c r="AS20" i="25"/>
  <c r="AR20" i="25"/>
  <c r="AQ20" i="25"/>
  <c r="AD20" i="25"/>
  <c r="AC20" i="25"/>
  <c r="AB20" i="25"/>
  <c r="O20" i="25"/>
  <c r="I20" i="25"/>
  <c r="BA19" i="25"/>
  <c r="AS19" i="25"/>
  <c r="AR19" i="25"/>
  <c r="AQ19" i="25"/>
  <c r="AD19" i="25"/>
  <c r="AC19" i="25"/>
  <c r="AB19" i="25"/>
  <c r="O19" i="25"/>
  <c r="I19" i="25"/>
  <c r="BA18" i="25"/>
  <c r="AS18" i="25"/>
  <c r="AR18" i="25"/>
  <c r="AQ18" i="25"/>
  <c r="AD18" i="25"/>
  <c r="AC18" i="25"/>
  <c r="AB18" i="25"/>
  <c r="O18" i="25"/>
  <c r="I18" i="25"/>
  <c r="BA17" i="25"/>
  <c r="AS17" i="25"/>
  <c r="AR17" i="25"/>
  <c r="AQ17" i="25"/>
  <c r="AD17" i="25"/>
  <c r="AC17" i="25"/>
  <c r="AB17" i="25"/>
  <c r="O17" i="25"/>
  <c r="I17" i="25"/>
  <c r="BA16" i="25"/>
  <c r="AS16" i="25"/>
  <c r="AR16" i="25"/>
  <c r="AQ16" i="25"/>
  <c r="AD16" i="25"/>
  <c r="AC16" i="25"/>
  <c r="AB16" i="25"/>
  <c r="O16" i="25"/>
  <c r="I16" i="25"/>
  <c r="BA15" i="25"/>
  <c r="AS15" i="25"/>
  <c r="AR15" i="25"/>
  <c r="AQ15" i="25"/>
  <c r="AD15" i="25"/>
  <c r="AC15" i="25"/>
  <c r="AB15" i="25"/>
  <c r="O15" i="25"/>
  <c r="I15" i="25"/>
  <c r="BA14" i="25"/>
  <c r="AS14" i="25"/>
  <c r="AR14" i="25"/>
  <c r="AQ14" i="25"/>
  <c r="AD14" i="25"/>
  <c r="AC14" i="25"/>
  <c r="AB14" i="25"/>
  <c r="O14" i="25"/>
  <c r="I14" i="25"/>
  <c r="BA13" i="25"/>
  <c r="AS13" i="25"/>
  <c r="AR13" i="25"/>
  <c r="AQ13" i="25"/>
  <c r="AD13" i="25"/>
  <c r="AC13" i="25"/>
  <c r="AB13" i="25"/>
  <c r="O13" i="25"/>
  <c r="I13" i="25"/>
  <c r="BA12" i="25"/>
  <c r="AS12" i="25"/>
  <c r="AR12" i="25"/>
  <c r="AQ12" i="25"/>
  <c r="AD12" i="25"/>
  <c r="AC12" i="25"/>
  <c r="AB12" i="25"/>
  <c r="O12" i="25"/>
  <c r="I12" i="25"/>
  <c r="BA11" i="25"/>
  <c r="AS11" i="25"/>
  <c r="AR11" i="25"/>
  <c r="AQ11" i="25"/>
  <c r="AD11" i="25"/>
  <c r="AC11" i="25"/>
  <c r="AB11" i="25"/>
  <c r="O11" i="25"/>
  <c r="I11" i="25"/>
  <c r="BA10" i="25"/>
  <c r="AS10" i="25"/>
  <c r="AR10" i="25"/>
  <c r="AQ10" i="25"/>
  <c r="AD10" i="25"/>
  <c r="AC10" i="25"/>
  <c r="AB10" i="25"/>
  <c r="O10" i="25"/>
  <c r="I10" i="25"/>
  <c r="L4" i="15"/>
  <c r="J4" i="15"/>
  <c r="H4" i="15"/>
  <c r="G9" i="15" s="1"/>
  <c r="P4" i="14"/>
  <c r="L4" i="14"/>
  <c r="D4" i="14"/>
  <c r="O16" i="11"/>
  <c r="O15" i="11"/>
  <c r="O14" i="11"/>
  <c r="N12" i="7"/>
  <c r="K1" i="7"/>
  <c r="C16" i="7" l="1"/>
  <c r="E4" i="7"/>
  <c r="K1" i="24"/>
  <c r="H20" i="24" s="1"/>
  <c r="B2" i="7"/>
  <c r="B13" i="7"/>
  <c r="B17" i="11" s="1"/>
  <c r="D4" i="7"/>
  <c r="B7" i="14" s="1"/>
  <c r="H7" i="11"/>
  <c r="G7" i="11"/>
  <c r="I6" i="15"/>
  <c r="I8" i="15"/>
  <c r="I5" i="15"/>
  <c r="K10" i="15"/>
  <c r="K8" i="15"/>
  <c r="K6" i="15"/>
  <c r="K7" i="15"/>
  <c r="K9" i="15"/>
  <c r="K5" i="15"/>
  <c r="J1" i="6"/>
  <c r="M1" i="15"/>
  <c r="R1" i="14"/>
  <c r="B4" i="7"/>
  <c r="H4" i="7"/>
  <c r="B11" i="7"/>
  <c r="B14" i="7"/>
  <c r="B33" i="7"/>
  <c r="O1" i="11"/>
  <c r="G7" i="15"/>
  <c r="G8" i="15"/>
  <c r="G5" i="15"/>
  <c r="G6" i="15"/>
  <c r="L1" i="7"/>
  <c r="C4" i="7"/>
  <c r="K4" i="7"/>
  <c r="B12" i="7"/>
  <c r="G16" i="7" s="1"/>
  <c r="B34" i="7"/>
  <c r="G10" i="15"/>
  <c r="J1" i="25"/>
  <c r="C10" i="25" s="1"/>
  <c r="I9" i="15"/>
  <c r="I10" i="15"/>
  <c r="I7" i="15"/>
  <c r="C7" i="15" l="1"/>
  <c r="A13" i="15"/>
  <c r="C15" i="6"/>
  <c r="A44" i="6"/>
  <c r="AX6" i="6"/>
  <c r="C31" i="25"/>
  <c r="C30" i="25"/>
  <c r="C11" i="25"/>
  <c r="C16" i="6"/>
  <c r="B8" i="24"/>
  <c r="J11" i="6"/>
  <c r="J15" i="6"/>
  <c r="J19" i="6"/>
  <c r="J23" i="6"/>
  <c r="J27" i="6"/>
  <c r="J31" i="6"/>
  <c r="J35" i="6"/>
  <c r="J39" i="6"/>
  <c r="J17" i="6"/>
  <c r="J25" i="6"/>
  <c r="J37" i="6"/>
  <c r="J18" i="6"/>
  <c r="J26" i="6"/>
  <c r="J34" i="6"/>
  <c r="J12" i="6"/>
  <c r="J16" i="6"/>
  <c r="J20" i="6"/>
  <c r="J24" i="6"/>
  <c r="J28" i="6"/>
  <c r="J32" i="6"/>
  <c r="J36" i="6"/>
  <c r="J10" i="6"/>
  <c r="J13" i="6"/>
  <c r="J21" i="6"/>
  <c r="J29" i="6"/>
  <c r="J33" i="6"/>
  <c r="J14" i="6"/>
  <c r="J22" i="6"/>
  <c r="J30" i="6"/>
  <c r="J38" i="6"/>
  <c r="B8" i="11"/>
  <c r="B4" i="24"/>
  <c r="C5" i="24"/>
  <c r="G5" i="24"/>
  <c r="B2" i="24"/>
  <c r="E20" i="24"/>
  <c r="L1" i="24"/>
  <c r="B20" i="24"/>
  <c r="L20" i="24"/>
  <c r="C9" i="15"/>
  <c r="B18" i="24"/>
  <c r="D16" i="6"/>
  <c r="AV6" i="6"/>
  <c r="AT6" i="6"/>
  <c r="AV4" i="6"/>
  <c r="B11" i="15"/>
  <c r="AZ4" i="6"/>
  <c r="AT4" i="6"/>
  <c r="AT7" i="6"/>
  <c r="AU7" i="6"/>
  <c r="B38" i="11"/>
  <c r="B39" i="11"/>
  <c r="O5" i="11"/>
  <c r="J7" i="11"/>
  <c r="I7" i="11"/>
  <c r="B17" i="24"/>
  <c r="B16" i="14"/>
  <c r="A43" i="25"/>
  <c r="J38" i="25"/>
  <c r="J37" i="25"/>
  <c r="BB36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A42" i="25"/>
  <c r="D38" i="25"/>
  <c r="C37" i="25"/>
  <c r="C36" i="25"/>
  <c r="J34" i="25"/>
  <c r="C32" i="25"/>
  <c r="J30" i="25"/>
  <c r="C28" i="25"/>
  <c r="J26" i="25"/>
  <c r="C24" i="25"/>
  <c r="J22" i="25"/>
  <c r="C20" i="25"/>
  <c r="J18" i="25"/>
  <c r="AN8" i="25"/>
  <c r="AB8" i="25"/>
  <c r="P8" i="25"/>
  <c r="BB7" i="25"/>
  <c r="AX7" i="25"/>
  <c r="AT7" i="25"/>
  <c r="AP7" i="25"/>
  <c r="AL7" i="25"/>
  <c r="AH7" i="25"/>
  <c r="AD7" i="25"/>
  <c r="Z7" i="25"/>
  <c r="V7" i="25"/>
  <c r="R7" i="25"/>
  <c r="E7" i="25"/>
  <c r="AT6" i="25"/>
  <c r="J6" i="25"/>
  <c r="F6" i="25"/>
  <c r="AT4" i="25"/>
  <c r="E4" i="25"/>
  <c r="A4" i="25"/>
  <c r="J33" i="25"/>
  <c r="C29" i="25"/>
  <c r="J25" i="25"/>
  <c r="C21" i="25"/>
  <c r="J17" i="25"/>
  <c r="J16" i="25"/>
  <c r="J15" i="25"/>
  <c r="J14" i="25"/>
  <c r="J13" i="25"/>
  <c r="J12" i="25"/>
  <c r="J11" i="25"/>
  <c r="J10" i="25"/>
  <c r="AQ8" i="25"/>
  <c r="Y8" i="25"/>
  <c r="BD7" i="25"/>
  <c r="AY7" i="25"/>
  <c r="AS7" i="25"/>
  <c r="AN7" i="25"/>
  <c r="AI7" i="25"/>
  <c r="AC7" i="25"/>
  <c r="X7" i="25"/>
  <c r="S7" i="25"/>
  <c r="BA6" i="25"/>
  <c r="H6" i="25"/>
  <c r="AY4" i="25"/>
  <c r="D4" i="25"/>
  <c r="K1" i="25"/>
  <c r="J31" i="25"/>
  <c r="J24" i="25"/>
  <c r="C23" i="25"/>
  <c r="D16" i="25"/>
  <c r="C15" i="25"/>
  <c r="D12" i="25"/>
  <c r="AK8" i="25"/>
  <c r="S8" i="25"/>
  <c r="AZ7" i="25"/>
  <c r="AR7" i="25"/>
  <c r="AK7" i="25"/>
  <c r="AE7" i="25"/>
  <c r="W7" i="25"/>
  <c r="P7" i="25"/>
  <c r="AQ6" i="25"/>
  <c r="BD4" i="25"/>
  <c r="C4" i="25"/>
  <c r="A41" i="25"/>
  <c r="J32" i="25"/>
  <c r="J23" i="25"/>
  <c r="C22" i="25"/>
  <c r="C17" i="25"/>
  <c r="D14" i="25"/>
  <c r="C13" i="25"/>
  <c r="D10" i="25"/>
  <c r="AE8" i="25"/>
  <c r="BC7" i="25"/>
  <c r="AV7" i="25"/>
  <c r="AO7" i="25"/>
  <c r="AG7" i="25"/>
  <c r="AA7" i="25"/>
  <c r="T7" i="25"/>
  <c r="AY6" i="25"/>
  <c r="O6" i="25"/>
  <c r="G6" i="25"/>
  <c r="M6" i="25" s="1"/>
  <c r="V6" i="25" s="1"/>
  <c r="AK6" i="25" s="1"/>
  <c r="P4" i="25"/>
  <c r="B2" i="25"/>
  <c r="C38" i="25"/>
  <c r="AW36" i="25"/>
  <c r="J36" i="25"/>
  <c r="C35" i="25"/>
  <c r="C33" i="25"/>
  <c r="J29" i="25"/>
  <c r="J27" i="25"/>
  <c r="C26" i="25"/>
  <c r="J20" i="25"/>
  <c r="C19" i="25"/>
  <c r="D17" i="25"/>
  <c r="D15" i="25"/>
  <c r="D13" i="25"/>
  <c r="D11" i="25"/>
  <c r="V8" i="25"/>
  <c r="AU7" i="25"/>
  <c r="AF7" i="25"/>
  <c r="Q7" i="25"/>
  <c r="AB6" i="25"/>
  <c r="E6" i="25"/>
  <c r="A44" i="25"/>
  <c r="BE7" i="25"/>
  <c r="AQ7" i="25"/>
  <c r="AB7" i="25"/>
  <c r="J7" i="25"/>
  <c r="AE4" i="25"/>
  <c r="A40" i="25"/>
  <c r="D37" i="25"/>
  <c r="J35" i="25"/>
  <c r="C34" i="25"/>
  <c r="J28" i="25"/>
  <c r="C27" i="25"/>
  <c r="C25" i="25"/>
  <c r="J21" i="25"/>
  <c r="J19" i="25"/>
  <c r="C18" i="25"/>
  <c r="C16" i="25"/>
  <c r="C14" i="25"/>
  <c r="C12" i="25"/>
  <c r="BA7" i="25"/>
  <c r="AM7" i="25"/>
  <c r="Y7" i="25"/>
  <c r="AV6" i="25"/>
  <c r="J4" i="25"/>
  <c r="U7" i="25"/>
  <c r="B4" i="25"/>
  <c r="AH8" i="25"/>
  <c r="AW7" i="25"/>
  <c r="I6" i="25"/>
  <c r="AJ7" i="25"/>
  <c r="B6" i="14"/>
  <c r="B7" i="11"/>
  <c r="B7" i="24"/>
  <c r="C38" i="6"/>
  <c r="C37" i="6"/>
  <c r="C36" i="6"/>
  <c r="C35" i="6"/>
  <c r="C33" i="6"/>
  <c r="C31" i="6"/>
  <c r="C29" i="6"/>
  <c r="D2" i="7" s="1"/>
  <c r="C26" i="6"/>
  <c r="C24" i="6"/>
  <c r="D22" i="6"/>
  <c r="C21" i="6"/>
  <c r="D18" i="6"/>
  <c r="C17" i="6"/>
  <c r="C14" i="6"/>
  <c r="D11" i="6"/>
  <c r="C10" i="6"/>
  <c r="AH8" i="6"/>
  <c r="V8" i="6"/>
  <c r="AY7" i="6"/>
  <c r="AV7" i="6"/>
  <c r="AP7" i="6"/>
  <c r="AL7" i="6"/>
  <c r="AH7" i="6"/>
  <c r="AD7" i="6"/>
  <c r="Z7" i="6"/>
  <c r="V7" i="6"/>
  <c r="R7" i="6"/>
  <c r="E7" i="6"/>
  <c r="J6" i="6"/>
  <c r="F6" i="6"/>
  <c r="J4" i="6"/>
  <c r="B4" i="6"/>
  <c r="A41" i="6"/>
  <c r="D38" i="6"/>
  <c r="D34" i="6"/>
  <c r="C32" i="6"/>
  <c r="D29" i="6"/>
  <c r="D28" i="6"/>
  <c r="D26" i="6"/>
  <c r="C23" i="6"/>
  <c r="H4" i="14" s="1"/>
  <c r="B18" i="14" s="1"/>
  <c r="C20" i="6"/>
  <c r="D14" i="6"/>
  <c r="C11" i="6"/>
  <c r="AK8" i="6"/>
  <c r="S8" i="6"/>
  <c r="AZ7" i="6"/>
  <c r="A43" i="6"/>
  <c r="C39" i="6"/>
  <c r="C34" i="6"/>
  <c r="D33" i="6"/>
  <c r="C27" i="6"/>
  <c r="C22" i="6"/>
  <c r="F4" i="15" s="1"/>
  <c r="C13" i="15" s="1"/>
  <c r="D10" i="6"/>
  <c r="AN8" i="6"/>
  <c r="P8" i="6"/>
  <c r="E6" i="7" s="1"/>
  <c r="H6" i="7" s="1"/>
  <c r="AW7" i="6"/>
  <c r="AO7" i="6"/>
  <c r="AJ7" i="6"/>
  <c r="AE7" i="6"/>
  <c r="Y7" i="6"/>
  <c r="T7" i="6"/>
  <c r="J7" i="6"/>
  <c r="AQ6" i="6"/>
  <c r="AB6" i="6"/>
  <c r="O6" i="6"/>
  <c r="I6" i="6"/>
  <c r="P4" i="6"/>
  <c r="A4" i="6"/>
  <c r="D36" i="6"/>
  <c r="D31" i="6"/>
  <c r="D30" i="6"/>
  <c r="C25" i="6"/>
  <c r="D21" i="6"/>
  <c r="D20" i="6"/>
  <c r="D19" i="6"/>
  <c r="C13" i="6"/>
  <c r="C12" i="6"/>
  <c r="AB8" i="6"/>
  <c r="BA7" i="6"/>
  <c r="AX7" i="6"/>
  <c r="AR7" i="6"/>
  <c r="AM7" i="6"/>
  <c r="AG7" i="6"/>
  <c r="AB7" i="6"/>
  <c r="W7" i="6"/>
  <c r="Q7" i="6"/>
  <c r="G6" i="6"/>
  <c r="D4" i="6"/>
  <c r="K1" i="6"/>
  <c r="D35" i="6"/>
  <c r="C19" i="6"/>
  <c r="D17" i="6"/>
  <c r="D15" i="6"/>
  <c r="AE8" i="6"/>
  <c r="AN7" i="6"/>
  <c r="AC7" i="6"/>
  <c r="S7" i="6"/>
  <c r="B2" i="6"/>
  <c r="A42" i="6"/>
  <c r="C28" i="6"/>
  <c r="D27" i="6"/>
  <c r="D13" i="6"/>
  <c r="Y8" i="6"/>
  <c r="AK7" i="6"/>
  <c r="AA7" i="6"/>
  <c r="P7" i="6"/>
  <c r="AE4" i="6"/>
  <c r="D39" i="6"/>
  <c r="C30" i="6"/>
  <c r="D25" i="6"/>
  <c r="C18" i="6"/>
  <c r="D12" i="6"/>
  <c r="AS7" i="6"/>
  <c r="AI7" i="6"/>
  <c r="X7" i="6"/>
  <c r="H6" i="6"/>
  <c r="E4" i="6"/>
  <c r="D37" i="6"/>
  <c r="D24" i="6"/>
  <c r="C4" i="6"/>
  <c r="AQ7" i="6"/>
  <c r="AQ8" i="6"/>
  <c r="D32" i="6"/>
  <c r="AF7" i="6"/>
  <c r="E6" i="6"/>
  <c r="D23" i="6"/>
  <c r="U7" i="6"/>
  <c r="C20" i="11"/>
  <c r="B9" i="11"/>
  <c r="B18" i="11"/>
  <c r="C13" i="11"/>
  <c r="P1" i="11"/>
  <c r="H20" i="11"/>
  <c r="B2" i="11"/>
  <c r="B13" i="11"/>
  <c r="G5" i="11"/>
  <c r="B5" i="11"/>
  <c r="C9" i="11"/>
  <c r="C19" i="14"/>
  <c r="O19" i="14"/>
  <c r="B17" i="14"/>
  <c r="G19" i="14"/>
  <c r="B2" i="14"/>
  <c r="K19" i="14"/>
  <c r="B4" i="14"/>
  <c r="S1" i="14"/>
  <c r="D10" i="15"/>
  <c r="D8" i="15"/>
  <c r="D6" i="15"/>
  <c r="M4" i="15"/>
  <c r="D9" i="15"/>
  <c r="B5" i="15"/>
  <c r="D7" i="15"/>
  <c r="D5" i="15"/>
  <c r="B2" i="15"/>
  <c r="N1" i="15"/>
  <c r="C5" i="15"/>
  <c r="M3" i="15"/>
  <c r="B15" i="7" l="1"/>
  <c r="K10" i="7"/>
  <c r="L10" i="7" s="1"/>
  <c r="K9" i="7"/>
  <c r="L9" i="7" s="1"/>
  <c r="I2" i="24"/>
  <c r="C4" i="24" s="1"/>
  <c r="G7" i="24" s="1"/>
  <c r="B12" i="15"/>
  <c r="E7" i="15"/>
  <c r="E6" i="15"/>
  <c r="E8" i="15"/>
  <c r="E5" i="15"/>
  <c r="E10" i="15"/>
  <c r="E9" i="15"/>
  <c r="I2" i="11"/>
  <c r="E13" i="15"/>
  <c r="H13" i="15"/>
  <c r="L13" i="15"/>
  <c r="B8" i="14"/>
  <c r="B12" i="14" s="1"/>
  <c r="B9" i="24"/>
  <c r="B13" i="24" s="1"/>
  <c r="C5" i="14"/>
  <c r="G5" i="14" s="1"/>
  <c r="K5" i="14" s="1"/>
  <c r="O5" i="14" s="1"/>
  <c r="C6" i="11"/>
  <c r="K6" i="6"/>
  <c r="C6" i="24"/>
  <c r="G6" i="24" s="1"/>
  <c r="P6" i="6"/>
  <c r="AE6" i="6" s="1"/>
  <c r="B7" i="7"/>
  <c r="E6" i="11"/>
  <c r="E5" i="14"/>
  <c r="I5" i="14" s="1"/>
  <c r="M5" i="14" s="1"/>
  <c r="Q5" i="14" s="1"/>
  <c r="M6" i="6"/>
  <c r="V6" i="6" s="1"/>
  <c r="AK6" i="6" s="1"/>
  <c r="E6" i="24"/>
  <c r="I6" i="24" s="1"/>
  <c r="B9" i="7"/>
  <c r="S6" i="6"/>
  <c r="AH6" i="6" s="1"/>
  <c r="L6" i="6"/>
  <c r="D5" i="14"/>
  <c r="H5" i="14" s="1"/>
  <c r="L5" i="14" s="1"/>
  <c r="P5" i="14" s="1"/>
  <c r="P6" i="14" s="1"/>
  <c r="D6" i="24"/>
  <c r="H6" i="24" s="1"/>
  <c r="B8" i="7"/>
  <c r="D6" i="11"/>
  <c r="B12" i="11"/>
  <c r="B11" i="14"/>
  <c r="B15" i="14" s="1"/>
  <c r="M15" i="14" s="1"/>
  <c r="G5" i="7"/>
  <c r="B12" i="24"/>
  <c r="B16" i="24" s="1"/>
  <c r="N6" i="25"/>
  <c r="Y6" i="25"/>
  <c r="AN6" i="25" s="1"/>
  <c r="C9" i="24"/>
  <c r="C8" i="14"/>
  <c r="C12" i="14"/>
  <c r="C13" i="24"/>
  <c r="N6" i="6"/>
  <c r="F6" i="24"/>
  <c r="J6" i="24" s="1"/>
  <c r="Y6" i="6"/>
  <c r="AN6" i="6" s="1"/>
  <c r="F6" i="11"/>
  <c r="F5" i="14"/>
  <c r="J5" i="14" s="1"/>
  <c r="N5" i="14" s="1"/>
  <c r="R5" i="14" s="1"/>
  <c r="R6" i="14" s="1"/>
  <c r="B10" i="7"/>
  <c r="K6" i="25"/>
  <c r="P6" i="25"/>
  <c r="AE6" i="25" s="1"/>
  <c r="B10" i="14"/>
  <c r="B14" i="14" s="1"/>
  <c r="Q14" i="14" s="1"/>
  <c r="B11" i="11"/>
  <c r="B11" i="24"/>
  <c r="B15" i="24" s="1"/>
  <c r="F5" i="7"/>
  <c r="B9" i="14"/>
  <c r="B13" i="14" s="1"/>
  <c r="N13" i="14" s="1"/>
  <c r="B10" i="11"/>
  <c r="B10" i="24"/>
  <c r="B14" i="24" s="1"/>
  <c r="E5" i="7"/>
  <c r="S6" i="25"/>
  <c r="AH6" i="25" s="1"/>
  <c r="L6" i="25"/>
  <c r="B19" i="24" l="1"/>
  <c r="J12" i="24"/>
  <c r="I11" i="24"/>
  <c r="H10" i="24"/>
  <c r="I16" i="24"/>
  <c r="H15" i="24"/>
  <c r="G14" i="24"/>
  <c r="J8" i="24"/>
  <c r="J7" i="24"/>
  <c r="I7" i="24"/>
  <c r="J10" i="24"/>
  <c r="H12" i="24"/>
  <c r="J15" i="24"/>
  <c r="I14" i="24"/>
  <c r="G16" i="24"/>
  <c r="G11" i="24"/>
  <c r="H8" i="24"/>
  <c r="H7" i="24"/>
  <c r="I12" i="24"/>
  <c r="H11" i="24"/>
  <c r="J14" i="24"/>
  <c r="H16" i="24"/>
  <c r="G15" i="24"/>
  <c r="G10" i="24"/>
  <c r="G8" i="24"/>
  <c r="J11" i="24"/>
  <c r="I10" i="24"/>
  <c r="J16" i="24"/>
  <c r="I15" i="24"/>
  <c r="H14" i="24"/>
  <c r="G12" i="24"/>
  <c r="I8" i="24"/>
  <c r="F11" i="14"/>
  <c r="Q15" i="14"/>
  <c r="Q11" i="14"/>
  <c r="M11" i="14"/>
  <c r="N11" i="14"/>
  <c r="C7" i="24"/>
  <c r="R15" i="14"/>
  <c r="O15" i="14"/>
  <c r="R11" i="14"/>
  <c r="O11" i="14"/>
  <c r="C11" i="14"/>
  <c r="E15" i="14"/>
  <c r="I11" i="14"/>
  <c r="C15" i="14"/>
  <c r="O7" i="14"/>
  <c r="D11" i="14"/>
  <c r="P11" i="14"/>
  <c r="F7" i="24"/>
  <c r="D15" i="14"/>
  <c r="N15" i="14"/>
  <c r="I15" i="14"/>
  <c r="D7" i="24"/>
  <c r="K5" i="11"/>
  <c r="C5" i="11"/>
  <c r="C15" i="24"/>
  <c r="L6" i="14"/>
  <c r="C11" i="24"/>
  <c r="F15" i="24"/>
  <c r="D6" i="14"/>
  <c r="H6" i="14"/>
  <c r="N6" i="14"/>
  <c r="J6" i="14"/>
  <c r="F6" i="14"/>
  <c r="Q10" i="14"/>
  <c r="L14" i="14"/>
  <c r="E7" i="24"/>
  <c r="L11" i="14"/>
  <c r="P15" i="14"/>
  <c r="H15" i="14"/>
  <c r="F15" i="14"/>
  <c r="J11" i="14"/>
  <c r="G11" i="14"/>
  <c r="E6" i="14"/>
  <c r="K11" i="14"/>
  <c r="E11" i="14"/>
  <c r="L15" i="14"/>
  <c r="J15" i="14"/>
  <c r="C8" i="24"/>
  <c r="G15" i="14"/>
  <c r="H11" i="14"/>
  <c r="K15" i="14"/>
  <c r="D7" i="14"/>
  <c r="Q7" i="14"/>
  <c r="G6" i="14"/>
  <c r="I14" i="14"/>
  <c r="I6" i="14"/>
  <c r="K14" i="14"/>
  <c r="H14" i="14"/>
  <c r="Q6" i="14"/>
  <c r="M6" i="14"/>
  <c r="R10" i="14"/>
  <c r="P10" i="14"/>
  <c r="R7" i="14"/>
  <c r="C14" i="14"/>
  <c r="D11" i="24"/>
  <c r="M7" i="14"/>
  <c r="D15" i="24"/>
  <c r="E12" i="24"/>
  <c r="E8" i="24"/>
  <c r="L7" i="14"/>
  <c r="F7" i="14"/>
  <c r="E15" i="24"/>
  <c r="J7" i="14"/>
  <c r="D8" i="24"/>
  <c r="F8" i="24"/>
  <c r="E7" i="14"/>
  <c r="F12" i="24"/>
  <c r="F11" i="24"/>
  <c r="N7" i="14"/>
  <c r="E11" i="24"/>
  <c r="I7" i="14"/>
  <c r="P7" i="14"/>
  <c r="H7" i="14"/>
  <c r="K6" i="14"/>
  <c r="O9" i="14"/>
  <c r="O13" i="14"/>
  <c r="R14" i="14"/>
  <c r="J14" i="14"/>
  <c r="I10" i="14"/>
  <c r="G14" i="14"/>
  <c r="E16" i="24"/>
  <c r="O6" i="14"/>
  <c r="L10" i="14"/>
  <c r="F10" i="14"/>
  <c r="D16" i="24"/>
  <c r="C12" i="24"/>
  <c r="M14" i="14"/>
  <c r="C10" i="14"/>
  <c r="N9" i="14"/>
  <c r="D9" i="14"/>
  <c r="P13" i="14"/>
  <c r="Q13" i="14"/>
  <c r="E14" i="14"/>
  <c r="K10" i="14"/>
  <c r="P14" i="14"/>
  <c r="J10" i="14"/>
  <c r="M10" i="14"/>
  <c r="C7" i="14"/>
  <c r="O10" i="14"/>
  <c r="F16" i="24"/>
  <c r="O14" i="14"/>
  <c r="F14" i="14"/>
  <c r="C16" i="24"/>
  <c r="G7" i="14"/>
  <c r="K7" i="14"/>
  <c r="D12" i="24"/>
  <c r="G10" i="14"/>
  <c r="E10" i="14"/>
  <c r="H10" i="14"/>
  <c r="D14" i="14"/>
  <c r="N14" i="14"/>
  <c r="C6" i="14"/>
  <c r="J9" i="14"/>
  <c r="F14" i="24"/>
  <c r="H13" i="14"/>
  <c r="D10" i="24"/>
  <c r="M9" i="14"/>
  <c r="B36" i="24"/>
  <c r="B34" i="24"/>
  <c r="B16" i="11"/>
  <c r="E12" i="11"/>
  <c r="C12" i="11"/>
  <c r="D12" i="11"/>
  <c r="F12" i="11"/>
  <c r="C7" i="7"/>
  <c r="C11" i="7" s="1"/>
  <c r="D7" i="7"/>
  <c r="D11" i="7" s="1"/>
  <c r="G6" i="11"/>
  <c r="K6" i="11" s="1"/>
  <c r="C7" i="11"/>
  <c r="C8" i="11"/>
  <c r="E14" i="24"/>
  <c r="I13" i="14"/>
  <c r="F9" i="14"/>
  <c r="R9" i="14"/>
  <c r="G9" i="14"/>
  <c r="J13" i="14"/>
  <c r="R13" i="14"/>
  <c r="I9" i="14"/>
  <c r="D10" i="14"/>
  <c r="F11" i="11"/>
  <c r="D11" i="11"/>
  <c r="B15" i="11"/>
  <c r="E11" i="11"/>
  <c r="C11" i="11"/>
  <c r="J6" i="11"/>
  <c r="N6" i="11" s="1"/>
  <c r="F8" i="11"/>
  <c r="F7" i="11"/>
  <c r="B37" i="24"/>
  <c r="B35" i="24"/>
  <c r="H6" i="11"/>
  <c r="L6" i="11" s="1"/>
  <c r="D8" i="11"/>
  <c r="D7" i="11"/>
  <c r="B14" i="11"/>
  <c r="E10" i="11"/>
  <c r="C10" i="11"/>
  <c r="F10" i="11"/>
  <c r="D10" i="11"/>
  <c r="H9" i="14"/>
  <c r="M13" i="14"/>
  <c r="K13" i="14"/>
  <c r="E13" i="14"/>
  <c r="C10" i="24"/>
  <c r="L13" i="14"/>
  <c r="C9" i="14"/>
  <c r="F13" i="14"/>
  <c r="J5" i="7"/>
  <c r="G8" i="7"/>
  <c r="G7" i="7"/>
  <c r="G11" i="7" s="1"/>
  <c r="G9" i="7"/>
  <c r="G10" i="7"/>
  <c r="C8" i="7"/>
  <c r="D8" i="7"/>
  <c r="H5" i="7"/>
  <c r="E8" i="7"/>
  <c r="E9" i="7"/>
  <c r="E10" i="7"/>
  <c r="E7" i="7"/>
  <c r="E11" i="7" s="1"/>
  <c r="G13" i="14"/>
  <c r="P9" i="14"/>
  <c r="D14" i="24"/>
  <c r="C13" i="14"/>
  <c r="C14" i="24"/>
  <c r="L9" i="14"/>
  <c r="E10" i="24"/>
  <c r="Q9" i="14"/>
  <c r="D13" i="14"/>
  <c r="F10" i="24"/>
  <c r="K9" i="14"/>
  <c r="E9" i="14"/>
  <c r="N10" i="14"/>
  <c r="F7" i="7"/>
  <c r="F11" i="7" s="1"/>
  <c r="F10" i="7"/>
  <c r="I5" i="7"/>
  <c r="F9" i="7"/>
  <c r="F8" i="7"/>
  <c r="C10" i="7"/>
  <c r="C12" i="7" s="1"/>
  <c r="D10" i="7"/>
  <c r="D9" i="7"/>
  <c r="C9" i="7"/>
  <c r="I6" i="11"/>
  <c r="M6" i="11" s="1"/>
  <c r="E7" i="11"/>
  <c r="E8" i="11"/>
  <c r="L10" i="11" l="1"/>
  <c r="L7" i="11"/>
  <c r="M7" i="11" s="1"/>
  <c r="L8" i="11"/>
  <c r="K12" i="11"/>
  <c r="K16" i="11"/>
  <c r="K8" i="11"/>
  <c r="K10" i="11"/>
  <c r="K7" i="11"/>
  <c r="N7" i="11" s="1"/>
  <c r="K14" i="11"/>
  <c r="K15" i="11"/>
  <c r="L16" i="11"/>
  <c r="L15" i="11"/>
  <c r="K11" i="11"/>
  <c r="L12" i="11"/>
  <c r="L14" i="11"/>
  <c r="L11" i="11"/>
  <c r="D12" i="7"/>
  <c r="G12" i="7"/>
  <c r="J10" i="7"/>
  <c r="J12" i="7" s="1"/>
  <c r="J7" i="7"/>
  <c r="J11" i="7" s="1"/>
  <c r="J9" i="7"/>
  <c r="J8" i="7"/>
  <c r="I8" i="7"/>
  <c r="I9" i="7"/>
  <c r="I10" i="7"/>
  <c r="I12" i="7" s="1"/>
  <c r="I7" i="7"/>
  <c r="I11" i="7" s="1"/>
  <c r="H9" i="7"/>
  <c r="H10" i="7"/>
  <c r="H12" i="7" s="1"/>
  <c r="H8" i="7"/>
  <c r="H7" i="7"/>
  <c r="H11" i="7" s="1"/>
  <c r="F16" i="11"/>
  <c r="D16" i="11"/>
  <c r="E16" i="11"/>
  <c r="C16" i="11"/>
  <c r="F12" i="7"/>
  <c r="E12" i="7"/>
  <c r="F14" i="11"/>
  <c r="D14" i="11"/>
  <c r="E14" i="11"/>
  <c r="C14" i="11"/>
  <c r="F15" i="11"/>
  <c r="D15" i="11"/>
  <c r="C15" i="11"/>
  <c r="E15" i="11"/>
  <c r="H14" i="11" l="1"/>
  <c r="N12" i="11"/>
  <c r="G12" i="11"/>
  <c r="G15" i="11"/>
  <c r="G8" i="11"/>
  <c r="G16" i="11"/>
  <c r="H10" i="11"/>
  <c r="H11" i="11"/>
  <c r="H12" i="11"/>
  <c r="H15" i="11"/>
  <c r="H16" i="11"/>
  <c r="G14" i="11"/>
  <c r="G11" i="11"/>
  <c r="G10" i="11"/>
  <c r="H8" i="11"/>
  <c r="M8" i="11" l="1"/>
  <c r="M16" i="11"/>
  <c r="N16" i="11"/>
  <c r="M10" i="11"/>
  <c r="M14" i="11"/>
  <c r="N14" i="11"/>
  <c r="N8" i="11"/>
  <c r="M15" i="11"/>
  <c r="M11" i="11"/>
  <c r="N11" i="11"/>
  <c r="N15" i="11"/>
  <c r="M12" i="11"/>
  <c r="N10" i="11"/>
  <c r="I8" i="11"/>
  <c r="J14" i="11"/>
  <c r="I12" i="11"/>
  <c r="I10" i="11"/>
  <c r="J8" i="11"/>
  <c r="I14" i="11"/>
  <c r="I15" i="11"/>
  <c r="I11" i="11"/>
  <c r="J12" i="11"/>
  <c r="M8" i="15"/>
  <c r="M7" i="15"/>
  <c r="M5" i="15"/>
  <c r="M6" i="15"/>
  <c r="J15" i="11"/>
  <c r="J10" i="11"/>
  <c r="J11" i="11"/>
  <c r="I16" i="11"/>
  <c r="J16" i="11"/>
</calcChain>
</file>

<file path=xl/sharedStrings.xml><?xml version="1.0" encoding="utf-8"?>
<sst xmlns="http://schemas.openxmlformats.org/spreadsheetml/2006/main" count="16" uniqueCount="8">
  <si>
    <t>( % )</t>
  </si>
  <si>
    <t>ENG</t>
  </si>
  <si>
    <t>UA</t>
  </si>
  <si>
    <t>-</t>
  </si>
  <si>
    <t xml:space="preserve">According to the art.21-1 ch. III of the NBU Regulation No. 141, required capital adequacy levels of Alfa-Bank were revised in view of the reorganization and merger with Ukrsotsbank. Hence, required CAR of Alfa-Bank as the successor bank was 18.0%, core capital  ratio – 18.0%. After measures taken, the required levels are: CAR – 14.8%, core capital ratio – 14.8%. </t>
  </si>
  <si>
    <t xml:space="preserve">Відповідно до пункту 21-1 розділу ІІІ Положення № 141 переглянуто необхідні рівні нормативів достатності (адекватності) регулятивного капіталу (Н2) та достатності основного капіталу (H3) для АТ “АЛЬФА-БАНК” з урахуванням ефекту від реорганізації шляхом приєднання АТ “УКРСОЦБАНК” до АТ “АЛЬФА-БАНК”. Так, необхідний рівень нормативу Н2 АТ “АЛЬФА-БАНК” як банку-правонаступника становив 18,0%, нормативу Н3 – 18,0%. З урахуванням вжитих заходів оновлений необхідний рівень нормативів Н2 – 14,8%, Н3 – 14,8% </t>
  </si>
  <si>
    <t>Оновлено необхідні  рівні нормативів достатності (адекватності) регулятивного капіталу (Н2) та достатності основного капіталу (H3) для АТ “ПРАВЕКС БАНК” відповідно до погодженої НБУ програми реструктуризації/капіталізації. З урахуванням вжитих і запланованих заходів необхідний рівень знизився з 29.1% до 25.8% за Н2, з 29.1% до 25.8% за Н3.</t>
  </si>
  <si>
    <t xml:space="preserve">Required capital adequacy ratios for Pravex bank were updated according to the approved of restructuring/capitalization plan. After measures taken and planned by the bank the required regulatory capital adequacy ratio decreased from 29.1% to 25.8% , required core capital ratio – from 29.1% to 25.8%.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</si>
</sst>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%"/>
    <numFmt numFmtId="165" formatCode="0.0%;\-0.0%;&quot;-&quot;"/>
    <numFmt numFmtId="166" formatCode="0.0"/>
    <numFmt numFmtId="167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5591"/>
      <name val="Arial"/>
      <family val="2"/>
      <charset val="204"/>
    </font>
    <font>
      <b/>
      <sz val="10"/>
      <name val="Arial"/>
      <family val="2"/>
      <charset val="204"/>
    </font>
    <font>
      <sz val="7.5"/>
      <color theme="1"/>
      <name val="Arial"/>
      <family val="2"/>
      <charset val="204"/>
    </font>
    <font>
      <sz val="7.5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i/>
      <sz val="7.5"/>
      <color rgb="FF7D0532"/>
      <name val="Arial"/>
      <family val="2"/>
      <charset val="204"/>
    </font>
    <font>
      <b/>
      <sz val="10"/>
      <color rgb="FF7D0532"/>
      <name val="Arial"/>
      <family val="2"/>
      <charset val="204"/>
    </font>
    <font>
      <sz val="10"/>
      <name val="Arial Narrow"/>
      <family val="2"/>
      <charset val="204"/>
    </font>
    <font>
      <b/>
      <sz val="7.5"/>
      <color rgb="FF7D0532"/>
      <name val="Arial"/>
      <family val="2"/>
      <charset val="204"/>
    </font>
    <font>
      <b/>
      <i/>
      <sz val="10"/>
      <color rgb="FF005591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5DEF4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46AFE6"/>
      </bottom>
      <diagonal/>
    </border>
    <border>
      <left style="dotted">
        <color rgb="FF46AFE6"/>
      </left>
      <right style="dotted">
        <color rgb="FF46AFE6"/>
      </right>
      <top style="dotted">
        <color rgb="FF46AFE6"/>
      </top>
      <bottom style="dotted">
        <color rgb="FF46AFE6"/>
      </bottom>
      <diagonal/>
    </border>
    <border>
      <left style="dotted">
        <color rgb="FF46AFE6"/>
      </left>
      <right style="dotted">
        <color rgb="FF46AFE6"/>
      </right>
      <top/>
      <bottom/>
      <diagonal/>
    </border>
    <border>
      <left style="dotted">
        <color rgb="FF46AFE6"/>
      </left>
      <right style="dotted">
        <color rgb="FF46AFE6"/>
      </right>
      <top/>
      <bottom style="dotted">
        <color rgb="FF46AFE6"/>
      </bottom>
      <diagonal/>
    </border>
    <border>
      <left/>
      <right style="dotted">
        <color rgb="FF46AFE6"/>
      </right>
      <top style="dotted">
        <color rgb="FF46AFE6"/>
      </top>
      <bottom/>
      <diagonal/>
    </border>
    <border>
      <left style="dotted">
        <color rgb="FF46AFE6"/>
      </left>
      <right style="dotted">
        <color rgb="FF46AFE6"/>
      </right>
      <top style="dotted">
        <color rgb="FF46AFE6"/>
      </top>
      <bottom/>
      <diagonal/>
    </border>
    <border>
      <left/>
      <right style="dotted">
        <color rgb="FF46AFE6"/>
      </right>
      <top style="dotted">
        <color rgb="FF46AFE6"/>
      </top>
      <bottom style="dotted">
        <color rgb="FF46AFE6"/>
      </bottom>
      <diagonal/>
    </border>
    <border>
      <left/>
      <right style="dotted">
        <color rgb="FF46AFE6"/>
      </right>
      <top/>
      <bottom style="dotted">
        <color rgb="FF46AFE6"/>
      </bottom>
      <diagonal/>
    </border>
    <border>
      <left style="dotted">
        <color rgb="FF46AFE6"/>
      </left>
      <right/>
      <top/>
      <bottom/>
      <diagonal/>
    </border>
    <border>
      <left style="dotted">
        <color rgb="FF46AFE6"/>
      </left>
      <right/>
      <top style="dotted">
        <color rgb="FF46AFE6"/>
      </top>
      <bottom/>
      <diagonal/>
    </border>
    <border>
      <left/>
      <right style="dotted">
        <color rgb="FF46AFE6"/>
      </right>
      <top/>
      <bottom/>
      <diagonal/>
    </border>
    <border>
      <left/>
      <right/>
      <top style="thin">
        <color rgb="FF46AFE6"/>
      </top>
      <bottom/>
      <diagonal/>
    </border>
    <border>
      <left style="dotted">
        <color rgb="FF46AFE6"/>
      </left>
      <right style="dotted">
        <color rgb="FF46AFE6"/>
      </right>
      <top style="thin">
        <color rgb="FF46AFE6"/>
      </top>
      <bottom style="dotted">
        <color rgb="FF46AFE6"/>
      </bottom>
      <diagonal/>
    </border>
    <border>
      <left style="dotted">
        <color rgb="FF46AFE6"/>
      </left>
      <right/>
      <top/>
      <bottom style="dotted">
        <color rgb="FF46AFE6"/>
      </bottom>
      <diagonal/>
    </border>
    <border>
      <left/>
      <right/>
      <top style="dotted">
        <color rgb="FF46AFE6"/>
      </top>
      <bottom style="dotted">
        <color rgb="FF46AFE6"/>
      </bottom>
      <diagonal/>
    </border>
    <border>
      <left style="dotted">
        <color rgb="FF46AFE6"/>
      </left>
      <right/>
      <top style="dotted">
        <color rgb="FF46AFE6"/>
      </top>
      <bottom style="dotted">
        <color rgb="FF46AFE6"/>
      </bottom>
      <diagonal/>
    </border>
    <border>
      <left/>
      <right/>
      <top style="dotted">
        <color rgb="FF46AFE6"/>
      </top>
      <bottom/>
      <diagonal/>
    </border>
    <border>
      <left/>
      <right/>
      <top style="thin">
        <color rgb="FF46AFE6"/>
      </top>
      <bottom style="thin">
        <color rgb="FF46AFE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7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6" fillId="0" borderId="0"/>
    <xf numFmtId="0" fontId="4" fillId="0" borderId="0"/>
    <xf numFmtId="165" fontId="20" fillId="0" borderId="31">
      <alignment horizontal="center" vertical="center"/>
    </xf>
    <xf numFmtId="9" fontId="4" fillId="0" borderId="0" applyFont="0" applyFill="0" applyBorder="0" applyAlignment="0" applyProtection="0"/>
    <xf numFmtId="0" fontId="6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3" fontId="23" fillId="0" borderId="0" applyFill="0" applyBorder="0" applyProtection="0"/>
    <xf numFmtId="0" fontId="1" fillId="0" borderId="0"/>
    <xf numFmtId="43" fontId="5" fillId="0" borderId="0" applyFont="0" applyFill="0" applyBorder="0" applyAlignment="0" applyProtection="0"/>
  </cellStyleXfs>
  <cellXfs count="185">
    <xf numFmtId="0" fontId="0" fillId="0" borderId="0" xfId="0"/>
    <xf numFmtId="0" fontId="10" fillId="2" borderId="0" xfId="0" applyFont="1" applyFill="1"/>
    <xf numFmtId="0" fontId="10" fillId="2" borderId="0" xfId="0" quotePrefix="1" applyFont="1" applyFill="1"/>
    <xf numFmtId="0" fontId="10" fillId="2" borderId="1" xfId="0" applyFont="1" applyFill="1" applyBorder="1"/>
    <xf numFmtId="3" fontId="10" fillId="2" borderId="1" xfId="0" applyNumberFormat="1" applyFont="1" applyFill="1" applyBorder="1"/>
    <xf numFmtId="0" fontId="11" fillId="2" borderId="0" xfId="0" applyFont="1" applyFill="1"/>
    <xf numFmtId="0" fontId="10" fillId="2" borderId="0" xfId="0" applyFont="1" applyFill="1" applyBorder="1"/>
    <xf numFmtId="164" fontId="10" fillId="2" borderId="0" xfId="1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2" fillId="2" borderId="0" xfId="0" applyFont="1" applyFill="1"/>
    <xf numFmtId="0" fontId="10" fillId="2" borderId="13" xfId="0" applyFont="1" applyFill="1" applyBorder="1"/>
    <xf numFmtId="0" fontId="10" fillId="2" borderId="13" xfId="0" applyFont="1" applyFill="1" applyBorder="1" applyAlignment="1">
      <alignment horizontal="right"/>
    </xf>
    <xf numFmtId="164" fontId="10" fillId="2" borderId="14" xfId="1" applyNumberFormat="1" applyFont="1" applyFill="1" applyBorder="1"/>
    <xf numFmtId="164" fontId="10" fillId="2" borderId="15" xfId="1" applyNumberFormat="1" applyFont="1" applyFill="1" applyBorder="1"/>
    <xf numFmtId="164" fontId="10" fillId="2" borderId="16" xfId="1" applyNumberFormat="1" applyFont="1" applyFill="1" applyBorder="1"/>
    <xf numFmtId="3" fontId="10" fillId="2" borderId="14" xfId="0" applyNumberFormat="1" applyFont="1" applyFill="1" applyBorder="1"/>
    <xf numFmtId="164" fontId="10" fillId="2" borderId="19" xfId="1" applyNumberFormat="1" applyFont="1" applyFill="1" applyBorder="1"/>
    <xf numFmtId="164" fontId="10" fillId="2" borderId="21" xfId="1" applyNumberFormat="1" applyFont="1" applyFill="1" applyBorder="1"/>
    <xf numFmtId="0" fontId="10" fillId="2" borderId="22" xfId="0" applyFont="1" applyFill="1" applyBorder="1"/>
    <xf numFmtId="0" fontId="10" fillId="2" borderId="14" xfId="0" applyFont="1" applyFill="1" applyBorder="1"/>
    <xf numFmtId="0" fontId="10" fillId="2" borderId="23" xfId="0" applyFont="1" applyFill="1" applyBorder="1"/>
    <xf numFmtId="3" fontId="10" fillId="2" borderId="15" xfId="0" applyNumberFormat="1" applyFont="1" applyFill="1" applyBorder="1"/>
    <xf numFmtId="0" fontId="10" fillId="2" borderId="21" xfId="0" applyFont="1" applyFill="1" applyBorder="1"/>
    <xf numFmtId="0" fontId="8" fillId="2" borderId="26" xfId="0" applyFont="1" applyFill="1" applyBorder="1" applyAlignment="1">
      <alignment horizontal="left" vertical="center" wrapText="1"/>
    </xf>
    <xf numFmtId="3" fontId="10" fillId="2" borderId="14" xfId="1" applyNumberFormat="1" applyFont="1" applyFill="1" applyBorder="1"/>
    <xf numFmtId="0" fontId="8" fillId="2" borderId="22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3" fontId="10" fillId="2" borderId="21" xfId="0" applyNumberFormat="1" applyFont="1" applyFill="1" applyBorder="1"/>
    <xf numFmtId="3" fontId="10" fillId="2" borderId="0" xfId="0" applyNumberFormat="1" applyFont="1" applyFill="1" applyBorder="1"/>
    <xf numFmtId="0" fontId="11" fillId="2" borderId="0" xfId="0" applyFont="1" applyFill="1" applyAlignment="1">
      <alignment vertical="center" wrapText="1"/>
    </xf>
    <xf numFmtId="0" fontId="11" fillId="2" borderId="1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right" vertical="center"/>
    </xf>
    <xf numFmtId="0" fontId="9" fillId="2" borderId="0" xfId="3" quotePrefix="1" applyFont="1" applyFill="1" applyAlignment="1">
      <alignment wrapText="1"/>
    </xf>
    <xf numFmtId="164" fontId="10" fillId="2" borderId="1" xfId="0" applyNumberFormat="1" applyFont="1" applyFill="1" applyBorder="1"/>
    <xf numFmtId="0" fontId="7" fillId="2" borderId="0" xfId="3" quotePrefix="1" applyFont="1" applyFill="1"/>
    <xf numFmtId="3" fontId="10" fillId="2" borderId="0" xfId="0" applyNumberFormat="1" applyFont="1" applyFill="1"/>
    <xf numFmtId="0" fontId="10" fillId="2" borderId="1" xfId="0" quotePrefix="1" applyFont="1" applyFill="1" applyBorder="1"/>
    <xf numFmtId="0" fontId="10" fillId="2" borderId="29" xfId="0" applyFont="1" applyFill="1" applyBorder="1"/>
    <xf numFmtId="0" fontId="8" fillId="2" borderId="14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0" fontId="11" fillId="0" borderId="0" xfId="0" applyFont="1" applyFill="1"/>
    <xf numFmtId="3" fontId="10" fillId="2" borderId="0" xfId="1" applyNumberFormat="1" applyFont="1" applyFill="1" applyBorder="1"/>
    <xf numFmtId="0" fontId="10" fillId="3" borderId="14" xfId="0" applyFont="1" applyFill="1" applyBorder="1" applyAlignment="1">
      <alignment vertical="center" wrapText="1"/>
    </xf>
    <xf numFmtId="0" fontId="13" fillId="2" borderId="0" xfId="3" quotePrefix="1" applyFont="1" applyFill="1" applyAlignment="1">
      <alignment wrapText="1"/>
    </xf>
    <xf numFmtId="0" fontId="13" fillId="2" borderId="0" xfId="3" quotePrefix="1" applyFont="1" applyFill="1" applyAlignment="1">
      <alignment horizontal="left"/>
    </xf>
    <xf numFmtId="164" fontId="10" fillId="2" borderId="0" xfId="0" applyNumberFormat="1" applyFont="1" applyFill="1"/>
    <xf numFmtId="164" fontId="10" fillId="2" borderId="0" xfId="0" applyNumberFormat="1" applyFont="1" applyFill="1" applyBorder="1"/>
    <xf numFmtId="3" fontId="10" fillId="0" borderId="1" xfId="0" applyNumberFormat="1" applyFont="1" applyFill="1" applyBorder="1"/>
    <xf numFmtId="0" fontId="10" fillId="3" borderId="28" xfId="0" applyFont="1" applyFill="1" applyBorder="1" applyAlignment="1">
      <alignment vertical="center" wrapText="1"/>
    </xf>
    <xf numFmtId="9" fontId="10" fillId="2" borderId="14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right"/>
    </xf>
    <xf numFmtId="0" fontId="15" fillId="2" borderId="0" xfId="0" applyFont="1" applyFill="1"/>
    <xf numFmtId="9" fontId="10" fillId="2" borderId="16" xfId="0" applyNumberFormat="1" applyFont="1" applyFill="1" applyBorder="1"/>
    <xf numFmtId="3" fontId="10" fillId="2" borderId="16" xfId="0" applyNumberFormat="1" applyFont="1" applyFill="1" applyBorder="1"/>
    <xf numFmtId="0" fontId="17" fillId="2" borderId="0" xfId="0" applyFont="1" applyFill="1" applyBorder="1" applyAlignment="1"/>
    <xf numFmtId="0" fontId="17" fillId="2" borderId="0" xfId="0" applyFont="1" applyFill="1" applyAlignment="1"/>
    <xf numFmtId="0" fontId="18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17" fillId="2" borderId="0" xfId="0" applyFont="1" applyFill="1"/>
    <xf numFmtId="0" fontId="19" fillId="2" borderId="0" xfId="0" applyFont="1" applyFill="1"/>
    <xf numFmtId="164" fontId="10" fillId="2" borderId="1" xfId="1" applyNumberFormat="1" applyFont="1" applyFill="1" applyBorder="1"/>
    <xf numFmtId="0" fontId="10" fillId="2" borderId="1" xfId="0" applyFont="1" applyFill="1" applyBorder="1" applyAlignment="1">
      <alignment horizontal="center" vertical="center"/>
    </xf>
    <xf numFmtId="0" fontId="10" fillId="2" borderId="0" xfId="0" quotePrefix="1" applyFont="1" applyFill="1" applyBorder="1"/>
    <xf numFmtId="0" fontId="10" fillId="2" borderId="1" xfId="0" applyFont="1" applyFill="1" applyBorder="1" applyAlignment="1">
      <alignment horizontal="center" vertical="center"/>
    </xf>
    <xf numFmtId="3" fontId="10" fillId="3" borderId="14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164" fontId="10" fillId="2" borderId="17" xfId="1" applyNumberFormat="1" applyFont="1" applyFill="1" applyBorder="1"/>
    <xf numFmtId="0" fontId="12" fillId="4" borderId="0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right" vertical="center"/>
    </xf>
    <xf numFmtId="0" fontId="15" fillId="4" borderId="0" xfId="0" applyFont="1" applyFill="1" applyBorder="1" applyAlignment="1">
      <alignment horizontal="left" vertical="center"/>
    </xf>
    <xf numFmtId="0" fontId="12" fillId="4" borderId="13" xfId="0" applyFont="1" applyFill="1" applyBorder="1" applyAlignment="1">
      <alignment horizontal="right" vertical="center" wrapText="1"/>
    </xf>
    <xf numFmtId="0" fontId="12" fillId="4" borderId="24" xfId="0" applyFont="1" applyFill="1" applyBorder="1" applyAlignment="1">
      <alignment horizontal="right" vertical="center" wrapText="1"/>
    </xf>
    <xf numFmtId="0" fontId="15" fillId="4" borderId="13" xfId="0" applyFont="1" applyFill="1" applyBorder="1" applyAlignment="1">
      <alignment horizontal="left" vertical="center"/>
    </xf>
    <xf numFmtId="0" fontId="14" fillId="4" borderId="13" xfId="0" applyFont="1" applyFill="1" applyBorder="1" applyAlignment="1">
      <alignment horizontal="right" vertical="center"/>
    </xf>
    <xf numFmtId="0" fontId="14" fillId="4" borderId="30" xfId="0" applyFont="1" applyFill="1" applyBorder="1" applyAlignment="1">
      <alignment horizontal="right" vertical="center"/>
    </xf>
    <xf numFmtId="0" fontId="22" fillId="4" borderId="24" xfId="0" applyFont="1" applyFill="1" applyBorder="1" applyAlignment="1">
      <alignment horizontal="right" vertical="center" wrapText="1"/>
    </xf>
    <xf numFmtId="0" fontId="22" fillId="4" borderId="13" xfId="0" applyFont="1" applyFill="1" applyBorder="1" applyAlignment="1">
      <alignment horizontal="right" vertical="center" wrapText="1"/>
    </xf>
    <xf numFmtId="0" fontId="21" fillId="2" borderId="0" xfId="0" applyFont="1" applyFill="1" applyAlignment="1">
      <alignment vertical="top" wrapText="1"/>
    </xf>
    <xf numFmtId="0" fontId="15" fillId="4" borderId="30" xfId="0" applyFont="1" applyFill="1" applyBorder="1" applyAlignment="1">
      <alignment horizontal="left" vertical="center"/>
    </xf>
    <xf numFmtId="0" fontId="8" fillId="2" borderId="1" xfId="0" applyFont="1" applyFill="1" applyBorder="1"/>
    <xf numFmtId="0" fontId="8" fillId="2" borderId="1" xfId="0" quotePrefix="1" applyFont="1" applyFill="1" applyBorder="1"/>
    <xf numFmtId="3" fontId="8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right"/>
    </xf>
    <xf numFmtId="14" fontId="10" fillId="2" borderId="1" xfId="0" applyNumberFormat="1" applyFont="1" applyFill="1" applyBorder="1"/>
    <xf numFmtId="164" fontId="10" fillId="2" borderId="1" xfId="1" applyNumberFormat="1" applyFont="1" applyFill="1" applyBorder="1" applyAlignment="1">
      <alignment horizontal="right"/>
    </xf>
    <xf numFmtId="14" fontId="10" fillId="2" borderId="1" xfId="1" applyNumberFormat="1" applyFont="1" applyFill="1" applyBorder="1"/>
    <xf numFmtId="1" fontId="10" fillId="3" borderId="14" xfId="1" applyNumberFormat="1" applyFont="1" applyFill="1" applyBorder="1" applyAlignment="1">
      <alignment horizontal="center" vertical="center"/>
    </xf>
    <xf numFmtId="3" fontId="10" fillId="2" borderId="23" xfId="0" applyNumberFormat="1" applyFont="1" applyFill="1" applyBorder="1" applyAlignment="1">
      <alignment horizontal="right"/>
    </xf>
    <xf numFmtId="3" fontId="10" fillId="2" borderId="15" xfId="0" applyNumberFormat="1" applyFont="1" applyFill="1" applyBorder="1" applyAlignment="1">
      <alignment horizontal="right"/>
    </xf>
    <xf numFmtId="3" fontId="10" fillId="3" borderId="19" xfId="0" applyNumberFormat="1" applyFont="1" applyFill="1" applyBorder="1" applyAlignment="1">
      <alignment horizontal="right"/>
    </xf>
    <xf numFmtId="3" fontId="10" fillId="3" borderId="18" xfId="0" applyNumberFormat="1" applyFont="1" applyFill="1" applyBorder="1" applyAlignment="1">
      <alignment horizontal="right"/>
    </xf>
    <xf numFmtId="3" fontId="10" fillId="3" borderId="14" xfId="0" applyNumberFormat="1" applyFont="1" applyFill="1" applyBorder="1" applyAlignment="1">
      <alignment horizontal="right"/>
    </xf>
    <xf numFmtId="164" fontId="10" fillId="2" borderId="14" xfId="1" applyNumberFormat="1" applyFont="1" applyFill="1" applyBorder="1" applyAlignment="1">
      <alignment horizontal="right"/>
    </xf>
    <xf numFmtId="164" fontId="10" fillId="2" borderId="16" xfId="1" applyNumberFormat="1" applyFont="1" applyFill="1" applyBorder="1" applyAlignment="1">
      <alignment horizontal="right"/>
    </xf>
    <xf numFmtId="164" fontId="19" fillId="2" borderId="19" xfId="1" applyNumberFormat="1" applyFont="1" applyFill="1" applyBorder="1" applyAlignment="1">
      <alignment horizontal="right"/>
    </xf>
    <xf numFmtId="164" fontId="10" fillId="3" borderId="20" xfId="1" applyNumberFormat="1" applyFont="1" applyFill="1" applyBorder="1" applyAlignment="1">
      <alignment horizontal="right"/>
    </xf>
    <xf numFmtId="164" fontId="10" fillId="3" borderId="16" xfId="1" applyNumberFormat="1" applyFont="1" applyFill="1" applyBorder="1" applyAlignment="1">
      <alignment horizontal="right"/>
    </xf>
    <xf numFmtId="164" fontId="10" fillId="3" borderId="14" xfId="1" applyNumberFormat="1" applyFont="1" applyFill="1" applyBorder="1" applyAlignment="1">
      <alignment horizontal="right"/>
    </xf>
    <xf numFmtId="164" fontId="19" fillId="3" borderId="14" xfId="1" applyNumberFormat="1" applyFont="1" applyFill="1" applyBorder="1" applyAlignment="1">
      <alignment horizontal="right"/>
    </xf>
    <xf numFmtId="164" fontId="10" fillId="2" borderId="20" xfId="1" applyNumberFormat="1" applyFont="1" applyFill="1" applyBorder="1" applyAlignment="1">
      <alignment horizontal="right"/>
    </xf>
    <xf numFmtId="3" fontId="10" fillId="2" borderId="15" xfId="0" applyNumberFormat="1" applyFont="1" applyFill="1" applyBorder="1" applyAlignment="1">
      <alignment horizontal="center" vertical="center"/>
    </xf>
    <xf numFmtId="164" fontId="10" fillId="2" borderId="20" xfId="1" applyNumberFormat="1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left"/>
    </xf>
    <xf numFmtId="0" fontId="10" fillId="3" borderId="18" xfId="0" applyFont="1" applyFill="1" applyBorder="1" applyAlignment="1">
      <alignment horizontal="left"/>
    </xf>
    <xf numFmtId="0" fontId="10" fillId="2" borderId="14" xfId="0" applyFont="1" applyFill="1" applyBorder="1" applyAlignment="1">
      <alignment horizontal="left"/>
    </xf>
    <xf numFmtId="0" fontId="10" fillId="3" borderId="16" xfId="0" applyFont="1" applyFill="1" applyBorder="1" applyAlignment="1">
      <alignment horizontal="left"/>
    </xf>
    <xf numFmtId="0" fontId="10" fillId="2" borderId="16" xfId="0" applyFont="1" applyFill="1" applyBorder="1" applyAlignment="1">
      <alignment horizontal="left" wrapText="1"/>
    </xf>
    <xf numFmtId="166" fontId="10" fillId="3" borderId="14" xfId="1" applyNumberFormat="1" applyFont="1" applyFill="1" applyBorder="1" applyAlignment="1">
      <alignment horizontal="right" vertical="center"/>
    </xf>
    <xf numFmtId="164" fontId="8" fillId="3" borderId="14" xfId="1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/>
    </xf>
    <xf numFmtId="164" fontId="8" fillId="2" borderId="1" xfId="1" applyNumberFormat="1" applyFont="1" applyFill="1" applyBorder="1"/>
    <xf numFmtId="10" fontId="10" fillId="2" borderId="1" xfId="1" applyNumberFormat="1" applyFont="1" applyFill="1" applyBorder="1"/>
    <xf numFmtId="10" fontId="8" fillId="0" borderId="1" xfId="1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8" fillId="0" borderId="0" xfId="8" applyFont="1" applyBorder="1"/>
    <xf numFmtId="0" fontId="10" fillId="2" borderId="1" xfId="0" applyFont="1" applyFill="1" applyBorder="1" applyAlignment="1">
      <alignment horizontal="center" vertical="center"/>
    </xf>
    <xf numFmtId="9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3" fontId="10" fillId="2" borderId="0" xfId="16" applyFont="1" applyFill="1"/>
    <xf numFmtId="167" fontId="10" fillId="2" borderId="0" xfId="0" applyNumberFormat="1" applyFont="1" applyFill="1"/>
    <xf numFmtId="166" fontId="10" fillId="2" borderId="0" xfId="0" applyNumberFormat="1" applyFont="1" applyFill="1" applyBorder="1"/>
    <xf numFmtId="164" fontId="10" fillId="0" borderId="1" xfId="1" applyNumberFormat="1" applyFont="1" applyFill="1" applyBorder="1"/>
    <xf numFmtId="164" fontId="10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wrapText="1"/>
    </xf>
    <xf numFmtId="0" fontId="12" fillId="4" borderId="2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vertical="top" wrapText="1"/>
    </xf>
    <xf numFmtId="164" fontId="10" fillId="2" borderId="27" xfId="1" applyNumberFormat="1" applyFont="1" applyFill="1" applyBorder="1" applyAlignment="1">
      <alignment horizontal="right"/>
    </xf>
    <xf numFmtId="164" fontId="10" fillId="2" borderId="19" xfId="1" applyNumberFormat="1" applyFont="1" applyFill="1" applyBorder="1" applyAlignment="1">
      <alignment horizontal="right"/>
    </xf>
    <xf numFmtId="0" fontId="12" fillId="4" borderId="24" xfId="0" applyFont="1" applyFill="1" applyBorder="1" applyAlignment="1">
      <alignment horizontal="center" wrapText="1"/>
    </xf>
    <xf numFmtId="0" fontId="12" fillId="4" borderId="13" xfId="0" applyFont="1" applyFill="1" applyBorder="1" applyAlignment="1">
      <alignment horizontal="center" wrapText="1"/>
    </xf>
    <xf numFmtId="0" fontId="22" fillId="4" borderId="24" xfId="0" applyFont="1" applyFill="1" applyBorder="1" applyAlignment="1">
      <alignment horizontal="center" wrapText="1"/>
    </xf>
    <xf numFmtId="0" fontId="22" fillId="4" borderId="13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7">
    <cellStyle name="_budget2003_r" xfId="14"/>
    <cellStyle name="Calc. %" xfId="6"/>
    <cellStyle name="Відсотковий" xfId="1" builtinId="5"/>
    <cellStyle name="Відсотковий 2" xfId="7"/>
    <cellStyle name="Відсотковий 2 2" xfId="10"/>
    <cellStyle name="Відсотковий 3" xfId="13"/>
    <cellStyle name="Гиперссылка 2" xfId="3"/>
    <cellStyle name="Звичайний" xfId="0" builtinId="0"/>
    <cellStyle name="Звичайний 2" xfId="4"/>
    <cellStyle name="Звичайний 3" xfId="2"/>
    <cellStyle name="Звичайний 4" xfId="5"/>
    <cellStyle name="Звичайний 4 2" xfId="9"/>
    <cellStyle name="Звичайний 4 3" xfId="15"/>
    <cellStyle name="Звичайний 5" xfId="11"/>
    <cellStyle name="Обычный 3 3 3" xfId="12"/>
    <cellStyle name="Обычный 3 6" xfId="8"/>
    <cellStyle name="Фінансовий" xfId="16" builtinId="3"/>
  </cellStyles>
  <dxfs count="5">
    <dxf>
      <font>
        <b/>
        <i val="0"/>
        <color rgb="FF057D46"/>
      </font>
    </dxf>
    <dxf>
      <font>
        <b/>
        <i val="0"/>
        <color rgb="FF057D46"/>
      </font>
    </dxf>
    <dxf>
      <fill>
        <patternFill>
          <bgColor rgb="FF8C969B"/>
        </patternFill>
      </fill>
    </dxf>
    <dxf>
      <font>
        <color rgb="FF057D46"/>
      </font>
    </dxf>
    <dxf>
      <font>
        <color rgb="FF057D46"/>
      </font>
    </dxf>
  </dxfs>
  <tableStyles count="0" defaultTableStyle="TableStyleMedium2" defaultPivotStyle="PivotStyleLight16"/>
  <colors>
    <mruColors>
      <color rgb="FF7D0532"/>
      <color rgb="FF91C864"/>
      <color rgb="FF057D46"/>
      <color rgb="FFDC4B64"/>
      <color rgb="FFE5A9B4"/>
      <color rgb="FF46AFE6"/>
      <color rgb="FF005591"/>
      <color rgb="FF000000"/>
      <color rgb="FFC84B64"/>
      <color rgb="FFB5DE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55479177086165E-2"/>
          <c:y val="6.4361467178293677E-2"/>
          <c:w val="0.86752788713910756"/>
          <c:h val="0.6399805257752806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'Individual banks'!$H$4:$J$4</c:f>
              <c:strCache>
                <c:ptCount val="3"/>
                <c:pt idx="0">
                  <c:v>За несприятливим макроекономічним сценарієм</c:v>
                </c:pt>
              </c:strCache>
            </c:strRef>
          </c:tx>
          <c:spPr>
            <a:solidFill>
              <a:srgbClr val="7D0532"/>
            </a:solidFill>
          </c:spPr>
          <c:invertIfNegative val="0"/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32D-4016-9B22-85E6A1E097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('Individual banks'!$D$4,'Individual banks'!$H$5:$J$5)</c:f>
              <c:strCache>
                <c:ptCount val="4"/>
                <c:pt idx="0">
                  <c:v>AQR на 01.01.21</c:v>
                </c:pt>
                <c:pt idx="1">
                  <c:v>1-й</c:v>
                </c:pt>
                <c:pt idx="2">
                  <c:v>2-й</c:v>
                </c:pt>
                <c:pt idx="3">
                  <c:v>3-й</c:v>
                </c:pt>
              </c:strCache>
            </c:strRef>
          </c:cat>
          <c:val>
            <c:numRef>
              <c:f>('Individual banks'!$D$12,'Individual banks'!$H$12:$J$12)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2D-4016-9B22-85E6A1E0971B}"/>
            </c:ext>
          </c:extLst>
        </c:ser>
        <c:ser>
          <c:idx val="0"/>
          <c:order val="1"/>
          <c:tx>
            <c:strRef>
              <c:f>'Individual banks'!$E$4:$G$4</c:f>
              <c:strCache>
                <c:ptCount val="3"/>
                <c:pt idx="0">
                  <c:v>За базовим макроекономічним сценарієм</c:v>
                </c:pt>
              </c:strCache>
            </c:strRef>
          </c:tx>
          <c:spPr>
            <a:solidFill>
              <a:srgbClr val="057D46"/>
            </a:solidFill>
          </c:spPr>
          <c:invertIfNegative val="0"/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32D-4016-9B22-85E6A1E0971B}"/>
                </c:ext>
              </c:extLst>
            </c:dLbl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32D-4016-9B22-85E6A1E097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('Individual banks'!$D$4,'Individual banks'!$H$5:$J$5)</c:f>
              <c:strCache>
                <c:ptCount val="4"/>
                <c:pt idx="0">
                  <c:v>AQR на 01.01.21</c:v>
                </c:pt>
                <c:pt idx="1">
                  <c:v>1-й</c:v>
                </c:pt>
                <c:pt idx="2">
                  <c:v>2-й</c:v>
                </c:pt>
                <c:pt idx="3">
                  <c:v>3-й</c:v>
                </c:pt>
              </c:strCache>
            </c:strRef>
          </c:cat>
          <c:val>
            <c:numRef>
              <c:f>'Individual banks'!$D$12:$G$12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2D-4016-9B22-85E6A1E097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3175" cap="flat" cmpd="sng" algn="ctr">
            <a:solidFill>
              <a:srgbClr val="8C969B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6808673609944453"/>
          <c:w val="0.96250000000000002"/>
          <c:h val="8.4745762711864403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6332759426153"/>
          <c:y val="4.0509167753591722E-2"/>
          <c:w val="0.83937820768031801"/>
          <c:h val="0.593087585063488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of banks'!$D$4:$F$4</c:f>
              <c:strCache>
                <c:ptCount val="1"/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of banks'!$F$6:$F$7,'Comparison of banks'!$F$13:$F$15)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3-441B-8AE9-D461C739AFBF}"/>
            </c:ext>
          </c:extLst>
        </c:ser>
        <c:ser>
          <c:idx val="1"/>
          <c:order val="1"/>
          <c:tx>
            <c:strRef>
              <c:f>'Comparison of banks'!$H$4:$J$4</c:f>
              <c:strCache>
                <c:ptCount val="1"/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of banks'!$J$6:$J$7,'Comparison of banks'!$J$13:$J$15)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C3-441B-8AE9-D461C739AFBF}"/>
            </c:ext>
          </c:extLst>
        </c:ser>
        <c:ser>
          <c:idx val="2"/>
          <c:order val="2"/>
          <c:tx>
            <c:strRef>
              <c:f>'Comparison of banks'!$L$4:$N$4</c:f>
              <c:strCache>
                <c:ptCount val="1"/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of banks'!$N$6:$N$7,'Comparison of banks'!$N$13:$N$15)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C3-441B-8AE9-D461C739AFBF}"/>
            </c:ext>
          </c:extLst>
        </c:ser>
        <c:ser>
          <c:idx val="3"/>
          <c:order val="3"/>
          <c:tx>
            <c:strRef>
              <c:f>'Comparison of banks'!$P$4:$R$4</c:f>
              <c:strCache>
                <c:ptCount val="1"/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of banks'!$R$6:$R$7,'Comparison of banks'!$R$13:$R$15)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C3-441B-8AE9-D461C739AF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7160319530650889"/>
          <c:w val="0.96235855097413503"/>
          <c:h val="0.2283968046934910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1723929245686"/>
          <c:y val="3.8783282262340159E-2"/>
          <c:w val="0.85228359612943116"/>
          <c:h val="0.55550802907901475"/>
        </c:manualLayout>
      </c:layout>
      <c:lineChart>
        <c:grouping val="standard"/>
        <c:varyColors val="0"/>
        <c:ser>
          <c:idx val="0"/>
          <c:order val="0"/>
          <c:tx>
            <c:strRef>
              <c:f>'Comparison with group'!$C$5:$F$5</c:f>
              <c:strCache>
                <c:ptCount val="1"/>
              </c:strCache>
            </c:strRef>
          </c:tx>
          <c:spPr>
            <a:ln w="25400" cmpd="sng">
              <a:solidFill>
                <a:srgbClr val="057D46"/>
              </a:solidFill>
              <a:prstDash val="solid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('Comparison with group'!$B$7:$B$8,'Comparison with group'!$B$10:$B$12)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group'!$F$7:$F$8,'Comparison with group'!$F$10:$F$12)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B-47B8-A121-F2921D6A3942}"/>
            </c:ext>
          </c:extLst>
        </c:ser>
        <c:ser>
          <c:idx val="1"/>
          <c:order val="1"/>
          <c:tx>
            <c:strRef>
              <c:f>'Comparison with group'!$G$5:$J$5</c:f>
              <c:strCache>
                <c:ptCount val="1"/>
                <c:pt idx="0">
                  <c:v>Усі банки, що проходили стрес-тестування</c:v>
                </c:pt>
              </c:strCache>
            </c:strRef>
          </c:tx>
          <c:spPr>
            <a:ln w="25400" cmpd="sng">
              <a:solidFill>
                <a:srgbClr val="91C864"/>
              </a:solidFill>
              <a:prstDash val="solid"/>
            </a:ln>
          </c:spPr>
          <c:marker>
            <c:symbol val="none"/>
          </c:marker>
          <c:cat>
            <c:strRef>
              <c:f>('Comparison with group'!$B$7:$B$8,'Comparison with group'!$B$10:$B$12)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group'!$J$7,'Comparison with group'!$J$8,'Comparison with group'!$J$10:$J$12)</c:f>
              <c:numCache>
                <c:formatCode>0.0%</c:formatCode>
                <c:ptCount val="5"/>
                <c:pt idx="0">
                  <c:v>0.14455566202667117</c:v>
                </c:pt>
                <c:pt idx="1">
                  <c:v>0.14427681805221171</c:v>
                </c:pt>
                <c:pt idx="2">
                  <c:v>0.16313651648526725</c:v>
                </c:pt>
                <c:pt idx="3">
                  <c:v>0.17283682670826359</c:v>
                </c:pt>
                <c:pt idx="4">
                  <c:v>0.19241557076931243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ACB-47B8-A121-F2921D6A3942}"/>
            </c:ext>
          </c:extLst>
        </c:ser>
        <c:ser>
          <c:idx val="3"/>
          <c:order val="2"/>
          <c:tx>
            <c:strRef>
              <c:f>'Comparison with group'!$K$5:$N$5</c:f>
              <c:strCache>
                <c:ptCount val="1"/>
              </c:strCache>
            </c:strRef>
          </c:tx>
          <c:spPr>
            <a:ln w="25400" cmpd="sng">
              <a:solidFill>
                <a:srgbClr val="46AFE6"/>
              </a:solidFill>
              <a:prstDash val="solid"/>
            </a:ln>
          </c:spPr>
          <c:marker>
            <c:symbol val="none"/>
          </c:marker>
          <c:cat>
            <c:strRef>
              <c:f>('Comparison with group'!$B$7:$B$8,'Comparison with group'!$B$10:$B$12)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group'!$M$7:$M$8,'Comparison with group'!$M$10:$M$12)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ACB-47B8-A121-F2921D6A3942}"/>
            </c:ext>
          </c:extLst>
        </c:ser>
        <c:ser>
          <c:idx val="2"/>
          <c:order val="3"/>
          <c:tx>
            <c:strRef>
              <c:f>'Comparison with group'!$B$38</c:f>
              <c:strCache>
                <c:ptCount val="1"/>
                <c:pt idx="0">
                  <c:v>Нормативне значення Н3 за базового сценарію</c:v>
                </c:pt>
              </c:strCache>
            </c:strRef>
          </c:tx>
          <c:spPr>
            <a:ln w="25400">
              <a:solidFill>
                <a:srgbClr val="C84B64"/>
              </a:solidFill>
              <a:prstDash val="sysDash"/>
            </a:ln>
          </c:spPr>
          <c:marker>
            <c:symbol val="none"/>
          </c:marker>
          <c:cat>
            <c:strRef>
              <c:f>('Comparison with group'!$B$7:$B$8,'Comparison with group'!$B$10:$B$12)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group'!$O$7:$O$8,'Comparison with group'!$O$10:$O$12)</c:f>
              <c:numCache>
                <c:formatCode>0%</c:formatCode>
                <c:ptCount val="5"/>
                <c:pt idx="0">
                  <c:v>7.0000000000000007E-2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CB-47B8-A121-F2921D6A3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803832"/>
        <c:axId val="409802192"/>
      </c:line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tickLblSkip val="1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5832031846733106"/>
          <c:w val="0.96491228070175439"/>
          <c:h val="0.17652795125940168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78398692810458"/>
          <c:y val="5.4397180762852403E-2"/>
          <c:w val="0.85679914232389698"/>
          <c:h val="0.59223168018395245"/>
        </c:manualLayout>
      </c:layout>
      <c:lineChart>
        <c:grouping val="standard"/>
        <c:varyColors val="0"/>
        <c:ser>
          <c:idx val="0"/>
          <c:order val="0"/>
          <c:tx>
            <c:strRef>
              <c:f>'Comparison with group'!$C$5:$F$5</c:f>
              <c:strCache>
                <c:ptCount val="1"/>
              </c:strCache>
            </c:strRef>
          </c:tx>
          <c:spPr>
            <a:ln w="25400">
              <a:solidFill>
                <a:srgbClr val="057D46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('Comparison with group'!$B$7:$B$8,'Comparison with group'!$B$10:$B$12)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group'!$F$7:$F$8,'Comparison with group'!$F$14:$F$16)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A2-43B1-9333-AB5A59F928C1}"/>
            </c:ext>
          </c:extLst>
        </c:ser>
        <c:ser>
          <c:idx val="1"/>
          <c:order val="1"/>
          <c:tx>
            <c:strRef>
              <c:f>'Comparison with group'!$G$5:$J$5</c:f>
              <c:strCache>
                <c:ptCount val="1"/>
                <c:pt idx="0">
                  <c:v>Усі банки, що проходили стрес-тестування</c:v>
                </c:pt>
              </c:strCache>
            </c:strRef>
          </c:tx>
          <c:spPr>
            <a:ln w="25400">
              <a:solidFill>
                <a:srgbClr val="91C864"/>
              </a:solidFill>
            </a:ln>
          </c:spPr>
          <c:marker>
            <c:symbol val="none"/>
          </c:marker>
          <c:cat>
            <c:strRef>
              <c:f>('Comparison with group'!$B$7:$B$8,'Comparison with group'!$B$10:$B$12)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group'!$J$7:$J$8,'Comparison with group'!$J$14:$J$16)</c:f>
              <c:numCache>
                <c:formatCode>0.0%</c:formatCode>
                <c:ptCount val="5"/>
                <c:pt idx="0">
                  <c:v>0.14455566202667117</c:v>
                </c:pt>
                <c:pt idx="1">
                  <c:v>0.14427681805221171</c:v>
                </c:pt>
                <c:pt idx="2">
                  <c:v>0.1023086111025117</c:v>
                </c:pt>
                <c:pt idx="3">
                  <c:v>8.4525938307228557E-2</c:v>
                </c:pt>
                <c:pt idx="4">
                  <c:v>7.5905497566782054E-2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A2-43B1-9333-AB5A59F928C1}"/>
            </c:ext>
          </c:extLst>
        </c:ser>
        <c:ser>
          <c:idx val="3"/>
          <c:order val="2"/>
          <c:tx>
            <c:strRef>
              <c:f>'Comparison with group'!$K$5:$N$5</c:f>
              <c:strCache>
                <c:ptCount val="1"/>
              </c:strCache>
            </c:strRef>
          </c:tx>
          <c:spPr>
            <a:ln w="25400">
              <a:solidFill>
                <a:srgbClr val="46AFE6"/>
              </a:solidFill>
            </a:ln>
          </c:spPr>
          <c:marker>
            <c:symbol val="none"/>
          </c:marker>
          <c:cat>
            <c:strRef>
              <c:f>('Comparison with group'!$B$7:$B$8,'Comparison with group'!$B$10:$B$12)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group'!$N$7:$N$8,'Comparison with group'!$N$14:$N$16)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A2-43B1-9333-AB5A59F928C1}"/>
            </c:ext>
          </c:extLst>
        </c:ser>
        <c:ser>
          <c:idx val="2"/>
          <c:order val="3"/>
          <c:tx>
            <c:strRef>
              <c:f>'Comparison with group'!$B$39</c:f>
              <c:strCache>
                <c:ptCount val="1"/>
                <c:pt idx="0">
                  <c:v>Нормативне значення Н3 за несприятливого сценарію</c:v>
                </c:pt>
              </c:strCache>
            </c:strRef>
          </c:tx>
          <c:spPr>
            <a:ln w="25400">
              <a:solidFill>
                <a:srgbClr val="C84B64"/>
              </a:solidFill>
              <a:prstDash val="sysDash"/>
            </a:ln>
          </c:spPr>
          <c:marker>
            <c:symbol val="none"/>
          </c:marker>
          <c:cat>
            <c:strRef>
              <c:f>('Comparison with group'!$B$7:$B$8,'Comparison with group'!$B$10:$B$12)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group'!$O$14:$O$15,'Comparison with group'!$O$14:$O$16)</c:f>
              <c:numCache>
                <c:formatCode>0.0%</c:formatCode>
                <c:ptCount val="5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A2-43B1-9333-AB5A59F92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803832"/>
        <c:axId val="409802192"/>
      </c:line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tickLblSkip val="1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0634421820743885"/>
          <c:w val="0.99182450980392156"/>
          <c:h val="0.19365578179256115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8986102271424"/>
          <c:y val="5.3183177809024672E-2"/>
          <c:w val="0.84383673038197882"/>
          <c:h val="0.55099777254269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rgbClr val="C84B6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8-7A42-4C91-A0D8-CFC90F3CE654}"/>
              </c:ext>
            </c:extLst>
          </c:dPt>
          <c:dPt>
            <c:idx val="1"/>
            <c:invertIfNegative val="0"/>
            <c:bubble3D val="0"/>
            <c:spPr>
              <a:solidFill>
                <a:srgbClr val="7D053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7A42-4C91-A0D8-CFC90F3CE654}"/>
              </c:ext>
            </c:extLst>
          </c:dPt>
          <c:dPt>
            <c:idx val="2"/>
            <c:invertIfNegative val="0"/>
            <c:bubble3D val="0"/>
            <c:spPr>
              <a:solidFill>
                <a:srgbClr val="46AFE6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F-7A42-4C91-A0D8-CFC90F3CE654}"/>
              </c:ext>
            </c:extLst>
          </c:dPt>
          <c:dPt>
            <c:idx val="3"/>
            <c:invertIfNegative val="0"/>
            <c:bubble3D val="0"/>
            <c:spPr>
              <a:solidFill>
                <a:srgbClr val="005591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2-7A42-4C91-A0D8-CFC90F3CE654}"/>
              </c:ext>
            </c:extLst>
          </c:dPt>
          <c:dPt>
            <c:idx val="4"/>
            <c:invertIfNegative val="0"/>
            <c:bubble3D val="0"/>
            <c:spPr>
              <a:solidFill>
                <a:srgbClr val="91C86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22-7A42-4C91-A0D8-CFC90F3CE6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'Capital need'!$C$5:$D$10</c:f>
              <c:multiLvlStrCache>
                <c:ptCount val="6"/>
                <c:lvl>
                  <c:pt idx="0">
                    <c:v>Н2</c:v>
                  </c:pt>
                  <c:pt idx="1">
                    <c:v>Н3</c:v>
                  </c:pt>
                  <c:pt idx="2">
                    <c:v>Н2</c:v>
                  </c:pt>
                  <c:pt idx="3">
                    <c:v>Н3</c:v>
                  </c:pt>
                  <c:pt idx="4">
                    <c:v>Н2</c:v>
                  </c:pt>
                  <c:pt idx="5">
                    <c:v>Н3</c:v>
                  </c:pt>
                </c:lvl>
                <c:lvl>
                  <c:pt idx="0">
                    <c:v>за результатами стрес-тестування</c:v>
                  </c:pt>
                  <c:pt idx="2">
                    <c:v>з урахуванням здійснених та запланованих банком заходів*, %</c:v>
                  </c:pt>
                  <c:pt idx="4">
                    <c:v>Фактичний рівень нормативів на 01.12.2021 р.</c:v>
                  </c:pt>
                </c:lvl>
              </c:multiLvlStrCache>
            </c:multiLvlStrRef>
          </c:cat>
          <c:val>
            <c:numRef>
              <c:f>'Capital need'!$E$5:$E$10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42-4C91-A0D8-CFC90F3CE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611263544"/>
        <c:axId val="611260592"/>
      </c:barChart>
      <c:catAx>
        <c:axId val="611263544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11260592"/>
        <c:crosses val="autoZero"/>
        <c:auto val="1"/>
        <c:lblAlgn val="ctr"/>
        <c:lblOffset val="100"/>
        <c:noMultiLvlLbl val="0"/>
      </c:catAx>
      <c:valAx>
        <c:axId val="611260592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11263544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8986102271424"/>
          <c:y val="5.3183177809024672E-2"/>
          <c:w val="0.84383673038197882"/>
          <c:h val="0.559319234196943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84B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26-4235-8D5E-6BB95FB5DB61}"/>
              </c:ext>
            </c:extLst>
          </c:dPt>
          <c:dPt>
            <c:idx val="1"/>
            <c:invertIfNegative val="0"/>
            <c:bubble3D val="0"/>
            <c:spPr>
              <a:solidFill>
                <a:srgbClr val="7D053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26-4235-8D5E-6BB95FB5DB61}"/>
              </c:ext>
            </c:extLst>
          </c:dPt>
          <c:dPt>
            <c:idx val="2"/>
            <c:invertIfNegative val="0"/>
            <c:bubble3D val="0"/>
            <c:spPr>
              <a:solidFill>
                <a:srgbClr val="46AFE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F26-4235-8D5E-6BB95FB5DB61}"/>
              </c:ext>
            </c:extLst>
          </c:dPt>
          <c:dPt>
            <c:idx val="3"/>
            <c:invertIfNegative val="0"/>
            <c:bubble3D val="0"/>
            <c:spPr>
              <a:solidFill>
                <a:srgbClr val="0055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26-4235-8D5E-6BB95FB5DB61}"/>
              </c:ext>
            </c:extLst>
          </c:dPt>
          <c:dPt>
            <c:idx val="4"/>
            <c:invertIfNegative val="0"/>
            <c:bubble3D val="0"/>
            <c:spPr>
              <a:solidFill>
                <a:srgbClr val="91C8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F26-4235-8D5E-6BB95FB5DB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'Capital need'!$C$5:$D$10</c:f>
              <c:multiLvlStrCache>
                <c:ptCount val="6"/>
                <c:lvl>
                  <c:pt idx="0">
                    <c:v>Н2</c:v>
                  </c:pt>
                  <c:pt idx="1">
                    <c:v>Н3</c:v>
                  </c:pt>
                  <c:pt idx="2">
                    <c:v>Н2</c:v>
                  </c:pt>
                  <c:pt idx="3">
                    <c:v>Н3</c:v>
                  </c:pt>
                  <c:pt idx="4">
                    <c:v>Н2</c:v>
                  </c:pt>
                  <c:pt idx="5">
                    <c:v>Н3</c:v>
                  </c:pt>
                </c:lvl>
                <c:lvl>
                  <c:pt idx="0">
                    <c:v>за результатами стрес-тестування</c:v>
                  </c:pt>
                  <c:pt idx="2">
                    <c:v>з урахуванням здійснених та запланованих банком заходів*, %</c:v>
                  </c:pt>
                  <c:pt idx="4">
                    <c:v>Фактичний рівень нормативів на 01.12.2021 р.</c:v>
                  </c:pt>
                </c:lvl>
              </c:multiLvlStrCache>
            </c:multiLvlStrRef>
          </c:cat>
          <c:val>
            <c:numRef>
              <c:f>'Capital need'!$G$5:$G$10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F26-4235-8D5E-6BB95FB5DB6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611263544"/>
        <c:axId val="611260592"/>
      </c:barChart>
      <c:catAx>
        <c:axId val="611263544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11260592"/>
        <c:crosses val="autoZero"/>
        <c:auto val="1"/>
        <c:lblAlgn val="ctr"/>
        <c:lblOffset val="100"/>
        <c:noMultiLvlLbl val="0"/>
      </c:catAx>
      <c:valAx>
        <c:axId val="611260592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11263544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8986102271424"/>
          <c:y val="5.3183177809024672E-2"/>
          <c:w val="0.84383673038197882"/>
          <c:h val="0.551923525924052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84B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C2-4FD9-922F-B328677C1271}"/>
              </c:ext>
            </c:extLst>
          </c:dPt>
          <c:dPt>
            <c:idx val="1"/>
            <c:invertIfNegative val="0"/>
            <c:bubble3D val="0"/>
            <c:spPr>
              <a:solidFill>
                <a:srgbClr val="7D053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2C2-4FD9-922F-B328677C1271}"/>
              </c:ext>
            </c:extLst>
          </c:dPt>
          <c:dPt>
            <c:idx val="2"/>
            <c:invertIfNegative val="0"/>
            <c:bubble3D val="0"/>
            <c:spPr>
              <a:solidFill>
                <a:srgbClr val="46AFE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2C2-4FD9-922F-B328677C1271}"/>
              </c:ext>
            </c:extLst>
          </c:dPt>
          <c:dPt>
            <c:idx val="3"/>
            <c:invertIfNegative val="0"/>
            <c:bubble3D val="0"/>
            <c:spPr>
              <a:solidFill>
                <a:srgbClr val="0055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2C2-4FD9-922F-B328677C1271}"/>
              </c:ext>
            </c:extLst>
          </c:dPt>
          <c:dPt>
            <c:idx val="4"/>
            <c:invertIfNegative val="0"/>
            <c:bubble3D val="0"/>
            <c:spPr>
              <a:solidFill>
                <a:srgbClr val="91C8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2C2-4FD9-922F-B328677C12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'Capital need'!$C$5:$D$10</c:f>
              <c:multiLvlStrCache>
                <c:ptCount val="6"/>
                <c:lvl>
                  <c:pt idx="0">
                    <c:v>Н2</c:v>
                  </c:pt>
                  <c:pt idx="1">
                    <c:v>Н3</c:v>
                  </c:pt>
                  <c:pt idx="2">
                    <c:v>Н2</c:v>
                  </c:pt>
                  <c:pt idx="3">
                    <c:v>Н3</c:v>
                  </c:pt>
                  <c:pt idx="4">
                    <c:v>Н2</c:v>
                  </c:pt>
                  <c:pt idx="5">
                    <c:v>Н3</c:v>
                  </c:pt>
                </c:lvl>
                <c:lvl>
                  <c:pt idx="0">
                    <c:v>за результатами стрес-тестування</c:v>
                  </c:pt>
                  <c:pt idx="2">
                    <c:v>з урахуванням здійснених та запланованих банком заходів*, %</c:v>
                  </c:pt>
                  <c:pt idx="4">
                    <c:v>Фактичний рівень нормативів на 01.12.2021 р.</c:v>
                  </c:pt>
                </c:lvl>
              </c:multiLvlStrCache>
            </c:multiLvlStrRef>
          </c:cat>
          <c:val>
            <c:numRef>
              <c:f>'Capital need'!$I$5:$I$10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2C2-4FD9-922F-B328677C127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611263544"/>
        <c:axId val="611260592"/>
      </c:barChart>
      <c:catAx>
        <c:axId val="611263544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11260592"/>
        <c:crosses val="autoZero"/>
        <c:auto val="1"/>
        <c:lblAlgn val="ctr"/>
        <c:lblOffset val="100"/>
        <c:noMultiLvlLbl val="0"/>
      </c:catAx>
      <c:valAx>
        <c:axId val="611260592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11263544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8986102271424"/>
          <c:y val="5.3183177809024672E-2"/>
          <c:w val="0.84383673038197882"/>
          <c:h val="0.553459213938093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84B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3F-4FBE-8FC1-88CC6E91053C}"/>
              </c:ext>
            </c:extLst>
          </c:dPt>
          <c:dPt>
            <c:idx val="1"/>
            <c:invertIfNegative val="0"/>
            <c:bubble3D val="0"/>
            <c:spPr>
              <a:solidFill>
                <a:srgbClr val="7D053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33F-4FBE-8FC1-88CC6E91053C}"/>
              </c:ext>
            </c:extLst>
          </c:dPt>
          <c:dPt>
            <c:idx val="2"/>
            <c:invertIfNegative val="0"/>
            <c:bubble3D val="0"/>
            <c:spPr>
              <a:solidFill>
                <a:srgbClr val="46AFE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3F-4FBE-8FC1-88CC6E91053C}"/>
              </c:ext>
            </c:extLst>
          </c:dPt>
          <c:dPt>
            <c:idx val="3"/>
            <c:invertIfNegative val="0"/>
            <c:bubble3D val="0"/>
            <c:spPr>
              <a:solidFill>
                <a:srgbClr val="0055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33F-4FBE-8FC1-88CC6E91053C}"/>
              </c:ext>
            </c:extLst>
          </c:dPt>
          <c:dPt>
            <c:idx val="4"/>
            <c:invertIfNegative val="0"/>
            <c:bubble3D val="0"/>
            <c:spPr>
              <a:solidFill>
                <a:srgbClr val="91C8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33F-4FBE-8FC1-88CC6E910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'Capital need'!$C$5:$D$10</c:f>
              <c:multiLvlStrCache>
                <c:ptCount val="6"/>
                <c:lvl>
                  <c:pt idx="0">
                    <c:v>Н2</c:v>
                  </c:pt>
                  <c:pt idx="1">
                    <c:v>Н3</c:v>
                  </c:pt>
                  <c:pt idx="2">
                    <c:v>Н2</c:v>
                  </c:pt>
                  <c:pt idx="3">
                    <c:v>Н3</c:v>
                  </c:pt>
                  <c:pt idx="4">
                    <c:v>Н2</c:v>
                  </c:pt>
                  <c:pt idx="5">
                    <c:v>Н3</c:v>
                  </c:pt>
                </c:lvl>
                <c:lvl>
                  <c:pt idx="0">
                    <c:v>за результатами стрес-тестування</c:v>
                  </c:pt>
                  <c:pt idx="2">
                    <c:v>з урахуванням здійснених та запланованих банком заходів*, %</c:v>
                  </c:pt>
                  <c:pt idx="4">
                    <c:v>Фактичний рівень нормативів на 01.12.2021 р.</c:v>
                  </c:pt>
                </c:lvl>
              </c:multiLvlStrCache>
            </c:multiLvlStrRef>
          </c:cat>
          <c:val>
            <c:numRef>
              <c:f>'Capital need'!$K$5:$K$10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F-4FBE-8FC1-88CC6E91053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611263544"/>
        <c:axId val="611260592"/>
      </c:barChart>
      <c:catAx>
        <c:axId val="611263544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11260592"/>
        <c:crosses val="autoZero"/>
        <c:auto val="1"/>
        <c:lblAlgn val="ctr"/>
        <c:lblOffset val="100"/>
        <c:noMultiLvlLbl val="0"/>
      </c:catAx>
      <c:valAx>
        <c:axId val="611260592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11263544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78398692810458"/>
          <c:y val="4.4799018103712798E-2"/>
          <c:w val="0.85679914232389698"/>
          <c:h val="0.60514224948579765"/>
        </c:manualLayout>
      </c:layout>
      <c:lineChart>
        <c:grouping val="standard"/>
        <c:varyColors val="0"/>
        <c:ser>
          <c:idx val="0"/>
          <c:order val="0"/>
          <c:tx>
            <c:strRef>
              <c:f>'Individual banks'!$E$4:$G$4</c:f>
              <c:strCache>
                <c:ptCount val="3"/>
                <c:pt idx="0">
                  <c:v>За базовим макроекономічним сценарієм</c:v>
                </c:pt>
              </c:strCache>
            </c:strRef>
          </c:tx>
          <c:spPr>
            <a:ln w="25400">
              <a:solidFill>
                <a:srgbClr val="057D46"/>
              </a:solidFill>
            </a:ln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('Individual banks'!$C$4:$C$6,'Individual banks'!$D$4,'Individual banks'!$E$5:$G$5)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'Individual banks'!$C$10:$G$10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B-4059-A716-D1B7D332CD12}"/>
            </c:ext>
          </c:extLst>
        </c:ser>
        <c:ser>
          <c:idx val="1"/>
          <c:order val="1"/>
          <c:tx>
            <c:strRef>
              <c:f>'Individual banks'!$H$4:$J$4</c:f>
              <c:strCache>
                <c:ptCount val="3"/>
                <c:pt idx="0">
                  <c:v>За несприятливим макроекономічним сценарієм</c:v>
                </c:pt>
              </c:strCache>
            </c:strRef>
          </c:tx>
          <c:spPr>
            <a:ln w="25400" cmpd="sng">
              <a:solidFill>
                <a:srgbClr val="91C864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25400" cmpd="sng">
                <a:solidFill>
                  <a:srgbClr val="91C864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2-E23B-4059-A716-D1B7D332CD1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3B-4059-A716-D1B7D332CD1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3B-4059-A716-D1B7D332CD1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('Individual banks'!$C$4:$C$6,'Individual banks'!$D$4,'Individual banks'!$E$5:$G$5)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('Individual banks'!$C$10:$D$10,'Individual banks'!$H$10:$J$10)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23B-4059-A716-D1B7D332CD12}"/>
            </c:ext>
          </c:extLst>
        </c:ser>
        <c:ser>
          <c:idx val="2"/>
          <c:order val="2"/>
          <c:tx>
            <c:strRef>
              <c:f>'Individual banks'!$B$33</c:f>
              <c:strCache>
                <c:ptCount val="1"/>
                <c:pt idx="0">
                  <c:v>Граничне значення Н3 за базового сценарію</c:v>
                </c:pt>
              </c:strCache>
            </c:strRef>
          </c:tx>
          <c:spPr>
            <a:ln w="25400">
              <a:solidFill>
                <a:srgbClr val="7D0532"/>
              </a:solidFill>
              <a:prstDash val="sysDash"/>
            </a:ln>
          </c:spPr>
          <c:marker>
            <c:symbol val="none"/>
          </c:marker>
          <c:cat>
            <c:strRef>
              <c:f>('Individual banks'!$C$4:$C$6,'Individual banks'!$D$4,'Individual banks'!$E$5:$G$5)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'Individual banks'!$C$11:$G$11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23B-4059-A716-D1B7D332CD12}"/>
            </c:ext>
          </c:extLst>
        </c:ser>
        <c:ser>
          <c:idx val="3"/>
          <c:order val="3"/>
          <c:tx>
            <c:strRef>
              <c:f>'Individual banks'!$B$34</c:f>
              <c:strCache>
                <c:ptCount val="1"/>
                <c:pt idx="0">
                  <c:v>Граничне значення Н3 за несприятливого сценарію</c:v>
                </c:pt>
              </c:strCache>
            </c:strRef>
          </c:tx>
          <c:spPr>
            <a:ln w="25400">
              <a:solidFill>
                <a:srgbClr val="C84B64"/>
              </a:solidFill>
              <a:prstDash val="sysDash"/>
            </a:ln>
          </c:spPr>
          <c:marker>
            <c:symbol val="none"/>
          </c:marker>
          <c:cat>
            <c:strRef>
              <c:f>('Individual banks'!$C$4:$C$6,'Individual banks'!$D$4,'Individual banks'!$E$5:$G$5)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('Individual banks'!$H$11:$I$11,'Individual banks'!$H$11:$J$11)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23B-4059-A716-D1B7D332C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803832"/>
        <c:axId val="409802192"/>
      </c:line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tickLblSkip val="1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1858910244687333"/>
          <c:w val="0.97916666666666663"/>
          <c:h val="0.18141089755312675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9937908496732"/>
          <c:y val="4.0509167753591722E-2"/>
          <c:w val="0.8234562091503268"/>
          <c:h val="0.525169366679433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with 2019'!$B$34</c:f>
              <c:strCache>
                <c:ptCount val="1"/>
                <c:pt idx="0">
                  <c:v>За базовим макроекономічним сценарієм (стрес-тестування 2021 року)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with 2019'!$B$7:$B$8,'Comparison with 2019'!$B$10:$B$12)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2019'!$C$7:$C$8,'Comparison with 2019'!$C$10:$C$12)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4-4BBE-A0A6-DAA2F02AFB1E}"/>
            </c:ext>
          </c:extLst>
        </c:ser>
        <c:ser>
          <c:idx val="1"/>
          <c:order val="1"/>
          <c:tx>
            <c:strRef>
              <c:f>'Comparison with 2019'!$B$36</c:f>
              <c:strCache>
                <c:ptCount val="1"/>
                <c:pt idx="0">
                  <c:v>За базовим макроекономічним сценарієм (стрес-тестування 2019 року)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with 2019'!$B$7:$B$8,'Comparison with 2019'!$B$10:$B$12)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2019'!$G$7:$G$8,'Comparison with 2019'!$G$10:$G$12)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84-4BBE-A0A6-DAA2F02AFB1E}"/>
            </c:ext>
          </c:extLst>
        </c:ser>
        <c:ser>
          <c:idx val="2"/>
          <c:order val="2"/>
          <c:tx>
            <c:strRef>
              <c:f>'Comparison with 2019'!$B$35</c:f>
              <c:strCache>
                <c:ptCount val="1"/>
                <c:pt idx="0">
                  <c:v>За несприятливим макроекономічним сценарієм (стрес-тестування 2021 року)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elete val="1"/>
          </c:dLbls>
          <c:cat>
            <c:strRef>
              <c:f>('Comparison with 2019'!$B$7:$B$8,'Comparison with 2019'!$B$10:$B$12)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2019'!$C$7:$C$8,'Comparison with 2019'!$C$14:$C$16)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84-4BBE-A0A6-DAA2F02AFB1E}"/>
            </c:ext>
          </c:extLst>
        </c:ser>
        <c:ser>
          <c:idx val="3"/>
          <c:order val="3"/>
          <c:tx>
            <c:strRef>
              <c:f>'Comparison with 2019'!$B$37</c:f>
              <c:strCache>
                <c:ptCount val="1"/>
                <c:pt idx="0">
                  <c:v>За несприятливим макроекономічним сценарієм (стрес-тестування 2019 року)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delete val="1"/>
          </c:dLbls>
          <c:cat>
            <c:strRef>
              <c:f>('Comparison with 2019'!$B$7:$B$8,'Comparison with 2019'!$B$10:$B$12)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2019'!$G$7:$G$8,'Comparison with 2019'!$G$14:$G$16)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84-4BBE-A0A6-DAA2F02AFB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0624786606968881"/>
          <c:w val="0.99564500131570954"/>
          <c:h val="0.29375213393031119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213717796065939E-2"/>
          <c:y val="4.1904773431540039E-2"/>
          <c:w val="0.87159138879919662"/>
          <c:h val="0.51788402274973977"/>
        </c:manualLayout>
      </c:layout>
      <c:lineChart>
        <c:grouping val="standard"/>
        <c:varyColors val="0"/>
        <c:ser>
          <c:idx val="0"/>
          <c:order val="0"/>
          <c:tx>
            <c:strRef>
              <c:f>'Comparison with 2019'!$B$34</c:f>
              <c:strCache>
                <c:ptCount val="1"/>
                <c:pt idx="0">
                  <c:v>За базовим макроекономічним сценарієм (стрес-тестування 2021 року)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  <a:effectLst/>
          </c:spPr>
          <c:marker>
            <c:symbol val="none"/>
          </c:marker>
          <c:cat>
            <c:strRef>
              <c:f>('Comparison with 2019'!$B$7:$B$8,'Comparison with 2019'!$B$10:$B$12)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2019'!$F$7:$F$8,'Comparison with 2019'!$F$10:$F$12)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D-4CB8-BD41-DE9104E36281}"/>
            </c:ext>
          </c:extLst>
        </c:ser>
        <c:ser>
          <c:idx val="1"/>
          <c:order val="1"/>
          <c:tx>
            <c:strRef>
              <c:f>'Comparison with 2019'!$B$35</c:f>
              <c:strCache>
                <c:ptCount val="1"/>
                <c:pt idx="0">
                  <c:v>За несприятливим макроекономічним сценарієм (стрес-тестування 2021 року)</c:v>
                </c:pt>
              </c:strCache>
            </c:strRef>
          </c:tx>
          <c:spPr>
            <a:ln w="25400" cmpd="sng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strRef>
              <c:f>('Comparison with 2019'!$B$7:$B$8,'Comparison with 2019'!$B$10:$B$12)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2019'!$F$7:$F$8,'Comparison with 2019'!$F$14:$F$16)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D-4CB8-BD41-DE9104E36281}"/>
            </c:ext>
          </c:extLst>
        </c:ser>
        <c:ser>
          <c:idx val="2"/>
          <c:order val="2"/>
          <c:tx>
            <c:strRef>
              <c:f>'Comparison with 2019'!$B$36</c:f>
              <c:strCache>
                <c:ptCount val="1"/>
                <c:pt idx="0">
                  <c:v>За базовим макроекономічним сценарієм (стрес-тестування 2019 року)</c:v>
                </c:pt>
              </c:strCache>
            </c:strRef>
          </c:tx>
          <c:spPr>
            <a:ln w="25400">
              <a:solidFill>
                <a:schemeClr val="accent2"/>
              </a:solidFill>
              <a:prstDash val="sysDash"/>
            </a:ln>
          </c:spPr>
          <c:marker>
            <c:symbol val="none"/>
          </c:marker>
          <c:cat>
            <c:strRef>
              <c:f>('Comparison with 2019'!$B$7:$B$8,'Comparison with 2019'!$B$10:$B$12)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2019'!$J$7:$J$8,'Comparison with 2019'!$J$10:$J$12)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FD-4CB8-BD41-DE9104E36281}"/>
            </c:ext>
          </c:extLst>
        </c:ser>
        <c:ser>
          <c:idx val="3"/>
          <c:order val="3"/>
          <c:tx>
            <c:strRef>
              <c:f>'Comparison with 2019'!$B$37</c:f>
              <c:strCache>
                <c:ptCount val="1"/>
                <c:pt idx="0">
                  <c:v>За несприятливим макроекономічним сценарієм (стрес-тестування 2019 року)</c:v>
                </c:pt>
              </c:strCache>
            </c:strRef>
          </c:tx>
          <c:spPr>
            <a:ln w="25400">
              <a:solidFill>
                <a:schemeClr val="accent4"/>
              </a:solidFill>
              <a:prstDash val="sysDash"/>
            </a:ln>
          </c:spPr>
          <c:marker>
            <c:symbol val="none"/>
          </c:marker>
          <c:cat>
            <c:strRef>
              <c:f>('Comparison with 2019'!$B$7:$B$8,'Comparison with 2019'!$B$10:$B$12)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2019'!$J$7:$J$8,'Comparison with 2019'!$J$14:$J$16)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FD-4CB8-BD41-DE9104E36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803832"/>
        <c:axId val="409802192"/>
      </c:line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3.3195020746887967E-2"/>
          <c:y val="0.68636279797205957"/>
          <c:w val="0.9294605809128631"/>
          <c:h val="0.3045623825192027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9937908496732"/>
          <c:y val="4.0509167753591722E-2"/>
          <c:w val="0.8234562091503268"/>
          <c:h val="0.50455805432859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with 2019'!$B$34</c:f>
              <c:strCache>
                <c:ptCount val="1"/>
                <c:pt idx="0">
                  <c:v>За базовим макроекономічним сценарієм (стрес-тестування 2021 року)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elete val="1"/>
          </c:dLbls>
          <c:cat>
            <c:strRef>
              <c:f>('Comparison with 2019'!$B$7:$B$8,'Comparison with 2019'!$B$10:$B$12)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2019'!$D$7:$D$8,'Comparison with 2019'!$D$10:$D$12)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6-4A3D-B03F-B06465356C61}"/>
            </c:ext>
          </c:extLst>
        </c:ser>
        <c:ser>
          <c:idx val="1"/>
          <c:order val="1"/>
          <c:tx>
            <c:strRef>
              <c:f>'Comparison with 2019'!$B$36</c:f>
              <c:strCache>
                <c:ptCount val="1"/>
                <c:pt idx="0">
                  <c:v>За базовим макроекономічним сценарієм (стрес-тестування 2019 року)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elete val="1"/>
          </c:dLbls>
          <c:cat>
            <c:strRef>
              <c:f>('Comparison with 2019'!$B$7:$B$8,'Comparison with 2019'!$B$10:$B$12)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2019'!$H$7:$H$8,'Comparison with 2019'!$H$10:$H$12)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6-4A3D-B03F-B06465356C61}"/>
            </c:ext>
          </c:extLst>
        </c:ser>
        <c:ser>
          <c:idx val="2"/>
          <c:order val="2"/>
          <c:tx>
            <c:strRef>
              <c:f>'Comparison with 2019'!$B$35</c:f>
              <c:strCache>
                <c:ptCount val="1"/>
                <c:pt idx="0">
                  <c:v>За несприятливим макроекономічним сценарієм (стрес-тестування 2021 року)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elete val="1"/>
          </c:dLbls>
          <c:cat>
            <c:strRef>
              <c:f>('Comparison with 2019'!$B$7:$B$8,'Comparison with 2019'!$B$10:$B$12)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2019'!$D$7:$D$8,'Comparison with 2019'!$D$14:$D$16)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96-4A3D-B03F-B06465356C61}"/>
            </c:ext>
          </c:extLst>
        </c:ser>
        <c:ser>
          <c:idx val="3"/>
          <c:order val="3"/>
          <c:tx>
            <c:strRef>
              <c:f>'Comparison with 2019'!$B$37</c:f>
              <c:strCache>
                <c:ptCount val="1"/>
                <c:pt idx="0">
                  <c:v>За несприятливим макроекономічним сценарієм (стрес-тестування 2019 року)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delete val="1"/>
          </c:dLbls>
          <c:cat>
            <c:strRef>
              <c:f>('Comparison with 2019'!$B$7:$B$8,'Comparison with 2019'!$B$10:$B$12)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2019'!$H$7:$H$8,'Comparison with 2019'!$H$14:$H$16)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96-4A3D-B03F-B06465356C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69565964482901765"/>
          <c:w val="0.96136894060989919"/>
          <c:h val="0.30434035517098235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834794293039538E-2"/>
          <c:y val="4.1851503135430061E-2"/>
          <c:w val="0.87097033904014043"/>
          <c:h val="0.50013198882563892"/>
        </c:manualLayout>
      </c:layout>
      <c:lineChart>
        <c:grouping val="standard"/>
        <c:varyColors val="0"/>
        <c:ser>
          <c:idx val="0"/>
          <c:order val="0"/>
          <c:tx>
            <c:strRef>
              <c:f>'Comparison with 2019'!$B$34</c:f>
              <c:strCache>
                <c:ptCount val="1"/>
                <c:pt idx="0">
                  <c:v>За базовим макроекономічним сценарієм (стрес-тестування 2021 року)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('Comparison with 2019'!$B$7:$B$8,'Comparison with 2019'!$B$10:$B$12)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2019'!$E$7:$E$8,'Comparison with 2019'!$E$10:$E$12)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E-4B4B-9BE9-E6CDB8CB5718}"/>
            </c:ext>
          </c:extLst>
        </c:ser>
        <c:ser>
          <c:idx val="1"/>
          <c:order val="1"/>
          <c:tx>
            <c:strRef>
              <c:f>'Comparison with 2019'!$B$35</c:f>
              <c:strCache>
                <c:ptCount val="1"/>
                <c:pt idx="0">
                  <c:v>За несприятливим макроекономічним сценарієм (стрес-тестування 2021 року)</c:v>
                </c:pt>
              </c:strCache>
            </c:strRef>
          </c:tx>
          <c:spPr>
            <a:ln w="254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('Comparison with 2019'!$B$7:$B$8,'Comparison with 2019'!$B$10:$B$12)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2019'!$E$7:$E$8,'Comparison with 2019'!$E$14:$E$16)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E-4B4B-9BE9-E6CDB8CB5718}"/>
            </c:ext>
          </c:extLst>
        </c:ser>
        <c:ser>
          <c:idx val="2"/>
          <c:order val="2"/>
          <c:tx>
            <c:strRef>
              <c:f>'Comparison with 2019'!$B$36</c:f>
              <c:strCache>
                <c:ptCount val="1"/>
                <c:pt idx="0">
                  <c:v>За базовим макроекономічним сценарієм (стрес-тестування 2019 року)</c:v>
                </c:pt>
              </c:strCache>
            </c:strRef>
          </c:tx>
          <c:spPr>
            <a:ln w="25400">
              <a:solidFill>
                <a:schemeClr val="accent2"/>
              </a:solidFill>
              <a:prstDash val="sysDash"/>
            </a:ln>
          </c:spPr>
          <c:marker>
            <c:symbol val="none"/>
          </c:marker>
          <c:cat>
            <c:strRef>
              <c:f>('Comparison with 2019'!$B$7:$B$8,'Comparison with 2019'!$B$10:$B$12)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2019'!$I$7:$I$8,'Comparison with 2019'!$I$10:$I$12)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1E-4B4B-9BE9-E6CDB8CB5718}"/>
            </c:ext>
          </c:extLst>
        </c:ser>
        <c:ser>
          <c:idx val="3"/>
          <c:order val="3"/>
          <c:tx>
            <c:strRef>
              <c:f>'Comparison with 2019'!$B$37</c:f>
              <c:strCache>
                <c:ptCount val="1"/>
                <c:pt idx="0">
                  <c:v>За несприятливим макроекономічним сценарієм (стрес-тестування 2019 року)</c:v>
                </c:pt>
              </c:strCache>
            </c:strRef>
          </c:tx>
          <c:spPr>
            <a:ln w="25400">
              <a:solidFill>
                <a:schemeClr val="accent4"/>
              </a:solidFill>
              <a:prstDash val="sysDash"/>
            </a:ln>
          </c:spPr>
          <c:marker>
            <c:symbol val="none"/>
          </c:marker>
          <c:cat>
            <c:strRef>
              <c:f>('Comparison with 2019'!$B$7:$B$8,'Comparison with 2019'!$B$10:$B$12)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with 2019'!$I$7:$I$8,'Comparison with 2019'!$I$14:$I$16)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1E-4B4B-9BE9-E6CDB8CB5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803832"/>
        <c:axId val="409802192"/>
      </c:line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3.3195020746887967E-2"/>
          <c:y val="0.68083231252736787"/>
          <c:w val="0.9294605809128631"/>
          <c:h val="0.31009336910311341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9937908496732"/>
          <c:y val="4.0509167753591722E-2"/>
          <c:w val="0.8234562091503268"/>
          <c:h val="0.593087585063488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of banks'!$D$4:$F$4</c:f>
              <c:strCache>
                <c:ptCount val="1"/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of banks'!$C$6:$C$7,'Comparison of banks'!$C$9:$C$11)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D8D-439A-B8A4-E85CC364BD05}"/>
            </c:ext>
          </c:extLst>
        </c:ser>
        <c:ser>
          <c:idx val="1"/>
          <c:order val="1"/>
          <c:tx>
            <c:strRef>
              <c:f>'Comparison of banks'!$H$4:$J$4</c:f>
              <c:strCache>
                <c:ptCount val="1"/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of banks'!$G$6:$G$7,'Comparison of banks'!$G$9:$G$11)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8D-439A-B8A4-E85CC364BD05}"/>
            </c:ext>
          </c:extLst>
        </c:ser>
        <c:ser>
          <c:idx val="2"/>
          <c:order val="2"/>
          <c:tx>
            <c:strRef>
              <c:f>'Comparison of banks'!$L$4:$N$4</c:f>
              <c:strCache>
                <c:ptCount val="1"/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of banks'!$K$6:$K$7,'Comparison of banks'!$K$9:$K$11)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D8D-439A-B8A4-E85CC364BD05}"/>
            </c:ext>
          </c:extLst>
        </c:ser>
        <c:ser>
          <c:idx val="3"/>
          <c:order val="3"/>
          <c:tx>
            <c:strRef>
              <c:f>'Comparison of banks'!$P$4:$R$4</c:f>
              <c:strCache>
                <c:ptCount val="1"/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of banks'!$O$6:$O$7,'Comparison of banks'!$O$9:$O$11)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D8D-439A-B8A4-E85CC364BD0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7160319530650889"/>
          <c:w val="0.96136894060989919"/>
          <c:h val="0.2283968046934910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2872437754412"/>
          <c:y val="4.0509167753591722E-2"/>
          <c:w val="0.83961286542763225"/>
          <c:h val="0.58319523640571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of banks'!$D$4:$F$4</c:f>
              <c:strCache>
                <c:ptCount val="1"/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of banks'!$F$6:$F$7,'Comparison of banks'!$F$9:$F$11)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A-459B-86DD-E3F9EECFDAEA}"/>
            </c:ext>
          </c:extLst>
        </c:ser>
        <c:ser>
          <c:idx val="1"/>
          <c:order val="1"/>
          <c:tx>
            <c:strRef>
              <c:f>'Comparison of banks'!$H$4:$J$4</c:f>
              <c:strCache>
                <c:ptCount val="1"/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of banks'!$J$6:$J$7,'Comparison of banks'!$J$9:$J$11)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A-459B-86DD-E3F9EECFDAEA}"/>
            </c:ext>
          </c:extLst>
        </c:ser>
        <c:ser>
          <c:idx val="2"/>
          <c:order val="2"/>
          <c:tx>
            <c:strRef>
              <c:f>'Comparison of banks'!$L$4:$N$4</c:f>
              <c:strCache>
                <c:ptCount val="1"/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of banks'!$N$6:$N$7,'Comparison of banks'!$N$9:$N$11)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DA-459B-86DD-E3F9EECFDAEA}"/>
            </c:ext>
          </c:extLst>
        </c:ser>
        <c:ser>
          <c:idx val="3"/>
          <c:order val="3"/>
          <c:tx>
            <c:strRef>
              <c:f>'Comparison of banks'!$P$4:$R$4</c:f>
              <c:strCache>
                <c:ptCount val="1"/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of banks'!$R$6:$R$7,'Comparison of banks'!$R$9:$R$11)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DA-459B-86DD-E3F9EECFDA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7160319530650889"/>
          <c:w val="0.96235855097413503"/>
          <c:h val="0.2283968046934910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3279670545195"/>
          <c:y val="4.0509167753591722E-2"/>
          <c:w val="0.82312187068564657"/>
          <c:h val="0.593087585063488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of banks'!$D$4:$F$4</c:f>
              <c:strCache>
                <c:ptCount val="1"/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of banks'!$C$6:$C$7,'Comparison of banks'!$C$13:$C$15)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8-441A-9F8D-16494E93D9DF}"/>
            </c:ext>
          </c:extLst>
        </c:ser>
        <c:ser>
          <c:idx val="1"/>
          <c:order val="1"/>
          <c:tx>
            <c:strRef>
              <c:f>'Comparison of banks'!$H$4:$J$4</c:f>
              <c:strCache>
                <c:ptCount val="1"/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of banks'!$G$6:$G$7,'Comparison of banks'!$G$13:$G$15)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58-441A-9F8D-16494E93D9DF}"/>
            </c:ext>
          </c:extLst>
        </c:ser>
        <c:ser>
          <c:idx val="2"/>
          <c:order val="2"/>
          <c:tx>
            <c:strRef>
              <c:f>'Comparison of banks'!$L$4:$N$4</c:f>
              <c:strCache>
                <c:ptCount val="1"/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of banks'!$K$6:$K$7,'Comparison of banks'!$K$13:$K$15)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58-441A-9F8D-16494E93D9DF}"/>
            </c:ext>
          </c:extLst>
        </c:ser>
        <c:ser>
          <c:idx val="3"/>
          <c:order val="3"/>
          <c:tx>
            <c:strRef>
              <c:f>'Comparison of banks'!$P$4:$R$4</c:f>
              <c:strCache>
                <c:ptCount val="1"/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('Comparison of banks'!$B$6:$B$7,'Comparison of banks'!$B$9:$B$11)</c:f>
              <c:strCache>
                <c:ptCount val="5"/>
                <c:pt idx="0">
                  <c:v>Дані банку на 01.01.21</c:v>
                </c:pt>
                <c:pt idx="1">
                  <c:v>AQR на 01.01.21</c:v>
                </c:pt>
                <c:pt idx="2">
                  <c:v>1-й</c:v>
                </c:pt>
                <c:pt idx="3">
                  <c:v>2-й</c:v>
                </c:pt>
                <c:pt idx="4">
                  <c:v>3-й</c:v>
                </c:pt>
              </c:strCache>
            </c:strRef>
          </c:cat>
          <c:val>
            <c:numRef>
              <c:f>('Comparison of banks'!$O$6:$O$7,'Comparison of banks'!$O$13:$O$15)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58-441A-9F8D-16494E93D9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7160319530650889"/>
          <c:w val="0.96136894060989919"/>
          <c:h val="0.2283968046934910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23" dropStyle="combo" dx="20" fmlaLink="$C$2" fmlaRange="'Data table'!$C$10:$C$40" sel="31" val="8"/>
</file>

<file path=xl/ctrlProps/ctrlProp10.xml><?xml version="1.0" encoding="utf-8"?>
<formControlPr xmlns="http://schemas.microsoft.com/office/spreadsheetml/2009/9/main" objectType="Drop" dropLines="23" dropStyle="combo" dx="20" fmlaLink="$H$2" fmlaRange="'Data table'!$C$10:$C$40" sel="31" val="8"/>
</file>

<file path=xl/ctrlProps/ctrlProp11.xml><?xml version="1.0" encoding="utf-8"?>
<formControlPr xmlns="http://schemas.microsoft.com/office/spreadsheetml/2009/9/main" objectType="Drop" dropLines="2" dropStyle="combo" dx="20" fmlaLink="'Individual banks'!$J$1" fmlaRange="'Individual banks'!$B$35:$B$36" sel="1" val="0"/>
</file>

<file path=xl/ctrlProps/ctrlProp12.xml><?xml version="1.0" encoding="utf-8"?>
<formControlPr xmlns="http://schemas.microsoft.com/office/spreadsheetml/2009/9/main" objectType="Drop" dropLines="23" dropStyle="combo" dx="20" fmlaLink="$E$4" fmlaRange="'Data table'!$C$10:$C$40" sel="31" val="8"/>
</file>

<file path=xl/ctrlProps/ctrlProp13.xml><?xml version="1.0" encoding="utf-8"?>
<formControlPr xmlns="http://schemas.microsoft.com/office/spreadsheetml/2009/9/main" objectType="Drop" dropLines="23" dropStyle="combo" dx="20" fmlaLink="$G$4" fmlaRange="'Data table'!$C$10:$C$40" sel="31" val="8"/>
</file>

<file path=xl/ctrlProps/ctrlProp14.xml><?xml version="1.0" encoding="utf-8"?>
<formControlPr xmlns="http://schemas.microsoft.com/office/spreadsheetml/2009/9/main" objectType="Drop" dropLines="23" dropStyle="combo" dx="20" fmlaLink="$I$4" fmlaRange="'Data table'!$C$10:$C$40" sel="31" val="8"/>
</file>

<file path=xl/ctrlProps/ctrlProp15.xml><?xml version="1.0" encoding="utf-8"?>
<formControlPr xmlns="http://schemas.microsoft.com/office/spreadsheetml/2009/9/main" objectType="Drop" dropLines="23" dropStyle="combo" dx="20" fmlaLink="$K$4" fmlaRange="'Data table'!$C$10:$C$40" sel="31" val="8"/>
</file>

<file path=xl/ctrlProps/ctrlProp16.xml><?xml version="1.0" encoding="utf-8"?>
<formControlPr xmlns="http://schemas.microsoft.com/office/spreadsheetml/2009/9/main" objectType="Drop" dropLines="2" dropStyle="combo" dx="20" fmlaLink="'Individual banks'!$J$1" fmlaRange="'Individual banks'!$B$35:$B$36" sel="1" val="0"/>
</file>

<file path=xl/ctrlProps/ctrlProp17.xml><?xml version="1.0" encoding="utf-8"?>
<formControlPr xmlns="http://schemas.microsoft.com/office/spreadsheetml/2009/9/main" objectType="Drop" dropLines="2" dropStyle="combo" dx="20" fmlaLink="'Individual banks'!$J$1" fmlaRange="'Individual banks'!$B$35:$B$36" sel="1" val="0"/>
</file>

<file path=xl/ctrlProps/ctrlProp18.xml><?xml version="1.0" encoding="utf-8"?>
<formControlPr xmlns="http://schemas.microsoft.com/office/spreadsheetml/2009/9/main" objectType="Drop" dropLines="2" dropStyle="combo" dx="20" fmlaLink="'Individual banks'!$J$1" fmlaRange="'Individual banks'!$B$35:$B$36" sel="1" val="0"/>
</file>

<file path=xl/ctrlProps/ctrlProp2.xml><?xml version="1.0" encoding="utf-8"?>
<formControlPr xmlns="http://schemas.microsoft.com/office/spreadsheetml/2009/9/main" objectType="Drop" dropLines="2" dropStyle="combo" dx="20" fmlaLink="$J$1" fmlaRange="$B$35:$B$36" sel="1" val="0"/>
</file>

<file path=xl/ctrlProps/ctrlProp3.xml><?xml version="1.0" encoding="utf-8"?>
<formControlPr xmlns="http://schemas.microsoft.com/office/spreadsheetml/2009/9/main" objectType="Drop" dropLines="23" dropStyle="combo" dx="20" fmlaLink="$H$2" fmlaRange="'Data table'!$C$10:$C$40" sel="31" val="8"/>
</file>

<file path=xl/ctrlProps/ctrlProp4.xml><?xml version="1.0" encoding="utf-8"?>
<formControlPr xmlns="http://schemas.microsoft.com/office/spreadsheetml/2009/9/main" objectType="Drop" dropLines="2" dropStyle="combo" dx="20" fmlaLink="'Individual banks'!$J$1" fmlaRange="'Individual banks'!$B$35:$B$36" sel="1" val="0"/>
</file>

<file path=xl/ctrlProps/ctrlProp5.xml><?xml version="1.0" encoding="utf-8"?>
<formControlPr xmlns="http://schemas.microsoft.com/office/spreadsheetml/2009/9/main" objectType="Drop" dropLines="23" dropStyle="combo" dx="20" fmlaLink="$C$4" fmlaRange="'Data table'!$C$10:$C$40" sel="31" val="8"/>
</file>

<file path=xl/ctrlProps/ctrlProp6.xml><?xml version="1.0" encoding="utf-8"?>
<formControlPr xmlns="http://schemas.microsoft.com/office/spreadsheetml/2009/9/main" objectType="Drop" dropLines="23" dropStyle="combo" dx="20" fmlaLink="$G$4" fmlaRange="'Data table'!$C$10:$C$40" sel="31" val="8"/>
</file>

<file path=xl/ctrlProps/ctrlProp7.xml><?xml version="1.0" encoding="utf-8"?>
<formControlPr xmlns="http://schemas.microsoft.com/office/spreadsheetml/2009/9/main" objectType="Drop" dropLines="23" dropStyle="combo" dx="20" fmlaLink="$K$4" fmlaRange="'Data table'!$C$10:$C$40" sel="31" val="8"/>
</file>

<file path=xl/ctrlProps/ctrlProp8.xml><?xml version="1.0" encoding="utf-8"?>
<formControlPr xmlns="http://schemas.microsoft.com/office/spreadsheetml/2009/9/main" objectType="Drop" dropLines="23" dropStyle="combo" dx="20" fmlaLink="$O$4" fmlaRange="'Data table'!$C$10:$C$40" sel="31" val="8"/>
</file>

<file path=xl/ctrlProps/ctrlProp9.xml><?xml version="1.0" encoding="utf-8"?>
<formControlPr xmlns="http://schemas.microsoft.com/office/spreadsheetml/2009/9/main" objectType="Drop" dropLines="2" dropStyle="combo" dx="20" fmlaLink="'Individual banks'!$J$1" fmlaRange="'Individual banks'!$B$35:$B$36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189687</xdr:colOff>
      <xdr:row>15</xdr:row>
      <xdr:rowOff>294155</xdr:rowOff>
    </xdr:from>
    <xdr:to>
      <xdr:col>9</xdr:col>
      <xdr:colOff>694746</xdr:colOff>
      <xdr:row>30</xdr:row>
      <xdr:rowOff>133284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130307</xdr:colOff>
      <xdr:row>16</xdr:row>
      <xdr:rowOff>40862</xdr:rowOff>
    </xdr:from>
    <xdr:to>
      <xdr:col>5</xdr:col>
      <xdr:colOff>718289</xdr:colOff>
      <xdr:row>31</xdr:row>
      <xdr:rowOff>143435</xdr:rowOff>
    </xdr:to>
    <xdr:graphicFrame macro="">
      <xdr:nvGraphicFramePr>
        <xdr:cNvPr id="3" name="Діаграма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2501900</xdr:colOff>
          <xdr:row>0</xdr:row>
          <xdr:rowOff>88900</xdr:rowOff>
        </xdr:from>
        <xdr:to>
          <xdr:col>4</xdr:col>
          <xdr:colOff>736600</xdr:colOff>
          <xdr:row>1</xdr:row>
          <xdr:rowOff>139700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698500</xdr:colOff>
          <xdr:row>0</xdr:row>
          <xdr:rowOff>12700</xdr:rowOff>
        </xdr:from>
        <xdr:to>
          <xdr:col>11</xdr:col>
          <xdr:colOff>31750</xdr:colOff>
          <xdr:row>1</xdr:row>
          <xdr:rowOff>50800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67891</xdr:colOff>
      <xdr:row>20</xdr:row>
      <xdr:rowOff>148903</xdr:rowOff>
    </xdr:from>
    <xdr:to>
      <xdr:col>3</xdr:col>
      <xdr:colOff>571500</xdr:colOff>
      <xdr:row>37</xdr:row>
      <xdr:rowOff>170889</xdr:rowOff>
    </xdr:to>
    <xdr:graphicFrame macro="">
      <xdr:nvGraphicFramePr>
        <xdr:cNvPr id="2" name="Діаграма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710134</xdr:colOff>
      <xdr:row>20</xdr:row>
      <xdr:rowOff>139594</xdr:rowOff>
    </xdr:from>
    <xdr:to>
      <xdr:col>7</xdr:col>
      <xdr:colOff>185057</xdr:colOff>
      <xdr:row>38</xdr:row>
      <xdr:rowOff>53009</xdr:rowOff>
    </xdr:to>
    <xdr:graphicFrame macro="">
      <xdr:nvGraphicFramePr>
        <xdr:cNvPr id="3" name="Діаграма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0</xdr:row>
          <xdr:rowOff>152400</xdr:rowOff>
        </xdr:from>
        <xdr:to>
          <xdr:col>9</xdr:col>
          <xdr:colOff>158750</xdr:colOff>
          <xdr:row>2</xdr:row>
          <xdr:rowOff>31750</xdr:rowOff>
        </xdr:to>
        <xdr:sp macro="" textlink="">
          <xdr:nvSpPr>
            <xdr:cNvPr id="19457" name="Drop Down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2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0</xdr:row>
          <xdr:rowOff>6350</xdr:rowOff>
        </xdr:from>
        <xdr:to>
          <xdr:col>11</xdr:col>
          <xdr:colOff>44450</xdr:colOff>
          <xdr:row>1</xdr:row>
          <xdr:rowOff>38100</xdr:rowOff>
        </xdr:to>
        <xdr:sp macro="" textlink="">
          <xdr:nvSpPr>
            <xdr:cNvPr id="19461" name="Drop Down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2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217713</xdr:colOff>
      <xdr:row>20</xdr:row>
      <xdr:rowOff>152398</xdr:rowOff>
    </xdr:from>
    <xdr:to>
      <xdr:col>11</xdr:col>
      <xdr:colOff>79362</xdr:colOff>
      <xdr:row>38</xdr:row>
      <xdr:rowOff>39756</xdr:rowOff>
    </xdr:to>
    <xdr:graphicFrame macro="">
      <xdr:nvGraphicFramePr>
        <xdr:cNvPr id="11" name="Діаграма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152398</xdr:colOff>
      <xdr:row>20</xdr:row>
      <xdr:rowOff>141514</xdr:rowOff>
    </xdr:from>
    <xdr:to>
      <xdr:col>15</xdr:col>
      <xdr:colOff>76199</xdr:colOff>
      <xdr:row>38</xdr:row>
      <xdr:rowOff>46383</xdr:rowOff>
    </xdr:to>
    <xdr:graphicFrame macro="">
      <xdr:nvGraphicFramePr>
        <xdr:cNvPr id="12" name="Діаграма 5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1604682</xdr:colOff>
      <xdr:row>19</xdr:row>
      <xdr:rowOff>161150</xdr:rowOff>
    </xdr:from>
    <xdr:to>
      <xdr:col>5</xdr:col>
      <xdr:colOff>621600</xdr:colOff>
      <xdr:row>35</xdr:row>
      <xdr:rowOff>3521</xdr:rowOff>
    </xdr:to>
    <xdr:graphicFrame macro="">
      <xdr:nvGraphicFramePr>
        <xdr:cNvPr id="2" name="Діаграма 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699247</xdr:colOff>
      <xdr:row>20</xdr:row>
      <xdr:rowOff>8965</xdr:rowOff>
    </xdr:from>
    <xdr:to>
      <xdr:col>9</xdr:col>
      <xdr:colOff>583155</xdr:colOff>
      <xdr:row>35</xdr:row>
      <xdr:rowOff>21665</xdr:rowOff>
    </xdr:to>
    <xdr:graphicFrame macro="">
      <xdr:nvGraphicFramePr>
        <xdr:cNvPr id="4" name="Діаграма 5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644339</xdr:colOff>
      <xdr:row>19</xdr:row>
      <xdr:rowOff>144555</xdr:rowOff>
    </xdr:from>
    <xdr:to>
      <xdr:col>13</xdr:col>
      <xdr:colOff>629996</xdr:colOff>
      <xdr:row>34</xdr:row>
      <xdr:rowOff>157255</xdr:rowOff>
    </xdr:to>
    <xdr:graphicFrame macro="">
      <xdr:nvGraphicFramePr>
        <xdr:cNvPr id="5" name="Діаграма 5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100853</xdr:colOff>
      <xdr:row>19</xdr:row>
      <xdr:rowOff>145117</xdr:rowOff>
    </xdr:from>
    <xdr:to>
      <xdr:col>17</xdr:col>
      <xdr:colOff>722106</xdr:colOff>
      <xdr:row>34</xdr:row>
      <xdr:rowOff>157817</xdr:rowOff>
    </xdr:to>
    <xdr:graphicFrame macro="">
      <xdr:nvGraphicFramePr>
        <xdr:cNvPr id="6" name="Діаграма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3</xdr:row>
          <xdr:rowOff>44450</xdr:rowOff>
        </xdr:from>
        <xdr:to>
          <xdr:col>5</xdr:col>
          <xdr:colOff>425450</xdr:colOff>
          <xdr:row>3</xdr:row>
          <xdr:rowOff>266700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3</xdr:row>
          <xdr:rowOff>38100</xdr:rowOff>
        </xdr:from>
        <xdr:to>
          <xdr:col>9</xdr:col>
          <xdr:colOff>412750</xdr:colOff>
          <xdr:row>3</xdr:row>
          <xdr:rowOff>260350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6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44450</xdr:rowOff>
        </xdr:from>
        <xdr:to>
          <xdr:col>13</xdr:col>
          <xdr:colOff>520700</xdr:colOff>
          <xdr:row>3</xdr:row>
          <xdr:rowOff>273050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6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304800</xdr:colOff>
          <xdr:row>3</xdr:row>
          <xdr:rowOff>38100</xdr:rowOff>
        </xdr:from>
        <xdr:to>
          <xdr:col>17</xdr:col>
          <xdr:colOff>412750</xdr:colOff>
          <xdr:row>3</xdr:row>
          <xdr:rowOff>266700</xdr:rowOff>
        </xdr:to>
        <xdr:sp macro="" textlink="">
          <xdr:nvSpPr>
            <xdr:cNvPr id="6150" name="Drop Dow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6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501650</xdr:colOff>
          <xdr:row>0</xdr:row>
          <xdr:rowOff>0</xdr:rowOff>
        </xdr:from>
        <xdr:to>
          <xdr:col>18</xdr:col>
          <xdr:colOff>6350</xdr:colOff>
          <xdr:row>1</xdr:row>
          <xdr:rowOff>31750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6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1566621</xdr:colOff>
      <xdr:row>21</xdr:row>
      <xdr:rowOff>18273</xdr:rowOff>
    </xdr:from>
    <xdr:to>
      <xdr:col>5</xdr:col>
      <xdr:colOff>621069</xdr:colOff>
      <xdr:row>37</xdr:row>
      <xdr:rowOff>57148</xdr:rowOff>
    </xdr:to>
    <xdr:graphicFrame macro="">
      <xdr:nvGraphicFramePr>
        <xdr:cNvPr id="5" name="Діаграма 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31453</xdr:colOff>
      <xdr:row>20</xdr:row>
      <xdr:rowOff>124902</xdr:rowOff>
    </xdr:from>
    <xdr:to>
      <xdr:col>10</xdr:col>
      <xdr:colOff>653501</xdr:colOff>
      <xdr:row>36</xdr:row>
      <xdr:rowOff>39780</xdr:rowOff>
    </xdr:to>
    <xdr:graphicFrame macro="">
      <xdr:nvGraphicFramePr>
        <xdr:cNvPr id="6" name="Діаграма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825500</xdr:colOff>
          <xdr:row>0</xdr:row>
          <xdr:rowOff>158750</xdr:rowOff>
        </xdr:from>
        <xdr:to>
          <xdr:col>10</xdr:col>
          <xdr:colOff>82550</xdr:colOff>
          <xdr:row>2</xdr:row>
          <xdr:rowOff>31750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8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539750</xdr:colOff>
          <xdr:row>0</xdr:row>
          <xdr:rowOff>6350</xdr:rowOff>
        </xdr:from>
        <xdr:to>
          <xdr:col>15</xdr:col>
          <xdr:colOff>0</xdr:colOff>
          <xdr:row>1</xdr:row>
          <xdr:rowOff>38100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8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</xdr:colOff>
          <xdr:row>3</xdr:row>
          <xdr:rowOff>107950</xdr:rowOff>
        </xdr:from>
        <xdr:to>
          <xdr:col>5</xdr:col>
          <xdr:colOff>1079500</xdr:colOff>
          <xdr:row>3</xdr:row>
          <xdr:rowOff>342900</xdr:rowOff>
        </xdr:to>
        <xdr:sp macro="" textlink="">
          <xdr:nvSpPr>
            <xdr:cNvPr id="4100" name="Drop Dow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7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</xdr:row>
          <xdr:rowOff>101600</xdr:rowOff>
        </xdr:from>
        <xdr:to>
          <xdr:col>7</xdr:col>
          <xdr:colOff>546100</xdr:colOff>
          <xdr:row>3</xdr:row>
          <xdr:rowOff>336550</xdr:rowOff>
        </xdr:to>
        <xdr:sp macro="" textlink="">
          <xdr:nvSpPr>
            <xdr:cNvPr id="4101" name="Drop Dow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7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3</xdr:row>
          <xdr:rowOff>101600</xdr:rowOff>
        </xdr:from>
        <xdr:to>
          <xdr:col>9</xdr:col>
          <xdr:colOff>1149350</xdr:colOff>
          <xdr:row>3</xdr:row>
          <xdr:rowOff>330200</xdr:rowOff>
        </xdr:to>
        <xdr:sp macro="" textlink="">
          <xdr:nvSpPr>
            <xdr:cNvPr id="4103" name="Drop Dow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7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</xdr:row>
          <xdr:rowOff>101600</xdr:rowOff>
        </xdr:from>
        <xdr:to>
          <xdr:col>11</xdr:col>
          <xdr:colOff>1244600</xdr:colOff>
          <xdr:row>3</xdr:row>
          <xdr:rowOff>330200</xdr:rowOff>
        </xdr:to>
        <xdr:sp macro="" textlink="">
          <xdr:nvSpPr>
            <xdr:cNvPr id="4104" name="Drop Dow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7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425450</xdr:colOff>
          <xdr:row>0</xdr:row>
          <xdr:rowOff>6350</xdr:rowOff>
        </xdr:from>
        <xdr:to>
          <xdr:col>12</xdr:col>
          <xdr:colOff>1536700</xdr:colOff>
          <xdr:row>1</xdr:row>
          <xdr:rowOff>38100</xdr:rowOff>
        </xdr:to>
        <xdr:sp macro="" textlink="">
          <xdr:nvSpPr>
            <xdr:cNvPr id="4106" name="Drop Down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7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145355</xdr:colOff>
      <xdr:row>12</xdr:row>
      <xdr:rowOff>531480</xdr:rowOff>
    </xdr:from>
    <xdr:to>
      <xdr:col>3</xdr:col>
      <xdr:colOff>1261870</xdr:colOff>
      <xdr:row>25</xdr:row>
      <xdr:rowOff>48185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1388248</xdr:colOff>
      <xdr:row>12</xdr:row>
      <xdr:rowOff>525076</xdr:rowOff>
    </xdr:from>
    <xdr:to>
      <xdr:col>6</xdr:col>
      <xdr:colOff>1002533</xdr:colOff>
      <xdr:row>25</xdr:row>
      <xdr:rowOff>21291</xdr:rowOff>
    </xdr:to>
    <xdr:graphicFrame macro="">
      <xdr:nvGraphicFramePr>
        <xdr:cNvPr id="15" name="Діаграма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32656</xdr:colOff>
      <xdr:row>12</xdr:row>
      <xdr:rowOff>559655</xdr:rowOff>
    </xdr:from>
    <xdr:to>
      <xdr:col>11</xdr:col>
      <xdr:colOff>71485</xdr:colOff>
      <xdr:row>25</xdr:row>
      <xdr:rowOff>12326</xdr:rowOff>
    </xdr:to>
    <xdr:graphicFrame macro="">
      <xdr:nvGraphicFramePr>
        <xdr:cNvPr id="17" name="Діаграма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76200</xdr:colOff>
      <xdr:row>12</xdr:row>
      <xdr:rowOff>566697</xdr:rowOff>
    </xdr:from>
    <xdr:to>
      <xdr:col>13</xdr:col>
      <xdr:colOff>49714</xdr:colOff>
      <xdr:row>25</xdr:row>
      <xdr:rowOff>75078</xdr:rowOff>
    </xdr:to>
    <xdr:graphicFrame macro="">
      <xdr:nvGraphicFramePr>
        <xdr:cNvPr id="18" name="Діаграма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1485900</xdr:colOff>
          <xdr:row>0</xdr:row>
          <xdr:rowOff>0</xdr:rowOff>
        </xdr:from>
        <xdr:to>
          <xdr:col>10</xdr:col>
          <xdr:colOff>101600</xdr:colOff>
          <xdr:row>1</xdr:row>
          <xdr:rowOff>25400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9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1485900</xdr:colOff>
          <xdr:row>0</xdr:row>
          <xdr:rowOff>0</xdr:rowOff>
        </xdr:from>
        <xdr:to>
          <xdr:col>10</xdr:col>
          <xdr:colOff>107950</xdr:colOff>
          <xdr:row>1</xdr:row>
          <xdr:rowOff>31750</xdr:rowOff>
        </xdr:to>
        <xdr:sp macro="" textlink="">
          <xdr:nvSpPr>
            <xdr:cNvPr id="26625" name="Drop Down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A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\work\DFS\Urgent\Dadashova\model_ST_19\ST_final_results_2019\model_ST_2019.07.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"/>
      <sheetName val="Capital"/>
      <sheetName val="FinStatement"/>
      <sheetName val="Interest_Inc+Exp"/>
      <sheetName val="Loans_fcast"/>
      <sheetName val="macro"/>
      <sheetName val="Loans_OthAssets_data"/>
      <sheetName val="Inputs_TablesBank"/>
      <sheetName val="ChangeLog"/>
      <sheetName val="!!!ALFA DELETE!!!"/>
      <sheetName val="Сheck_Interest_Income"/>
      <sheetName val="Check_Loans_fcast"/>
      <sheetName val="1_Capital_Chart"/>
      <sheetName val="2_Balance"/>
      <sheetName val="3_Factors"/>
      <sheetName val="4_EAD_CR_Chart"/>
      <sheetName val="5_Interest_Inc+Exp_Chart"/>
      <sheetName val="6_Interest_Rates_Chart"/>
      <sheetName val="7_PandL"/>
      <sheetName val="8_Annexes_1_2"/>
      <sheetName val="8_Annexes_3"/>
    </sheetNames>
    <sheetDataSet>
      <sheetData sheetId="0">
        <row r="6">
          <cell r="C6" t="str">
            <v>UKR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NBU">
      <a:dk1>
        <a:sysClr val="windowText" lastClr="000000"/>
      </a:dk1>
      <a:lt1>
        <a:sysClr val="window" lastClr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2.xml"/><Relationship Id="rId7" Type="http://schemas.openxmlformats.org/officeDocument/2006/relationships/ctrlProp" Target="../ctrlProps/ctrlProp16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Аркуш1"/>
  <dimension ref="A1:O36"/>
  <sheetViews>
    <sheetView tabSelected="1" zoomScale="80" zoomScaleNormal="80" workbookViewId="0">
      <selection activeCell="N9" sqref="N9"/>
    </sheetView>
  </sheetViews>
  <sheetFormatPr defaultColWidth="8.90625" defaultRowHeight="12.5" x14ac:dyDescent="0.25"/>
  <cols>
    <col min="1" max="1" width="3.6328125" style="1" customWidth="1"/>
    <col min="2" max="2" width="37.81640625" style="1" customWidth="1"/>
    <col min="3" max="5" width="12.36328125" style="1" customWidth="1"/>
    <col min="6" max="10" width="12.453125" style="1" customWidth="1"/>
    <col min="11" max="11" width="13.453125" style="1" customWidth="1"/>
    <col min="12" max="12" width="11.90625" style="1" customWidth="1"/>
    <col min="13" max="16" width="8.90625" style="1"/>
    <col min="17" max="17" width="3.54296875" style="1" customWidth="1"/>
    <col min="18" max="16384" width="8.90625" style="1"/>
  </cols>
  <sheetData>
    <row r="1" spans="1:15" ht="13" x14ac:dyDescent="0.3">
      <c r="J1" s="1">
        <v>1</v>
      </c>
      <c r="K1" s="56" t="str">
        <f>INDEX($B$35:$B$36,J1,1)</f>
        <v>UA</v>
      </c>
      <c r="L1" s="62" t="str">
        <f>IF($K$1="ENG","Змінити мову тут","Change language here")</f>
        <v>Change language here</v>
      </c>
    </row>
    <row r="2" spans="1:15" ht="13.75" customHeight="1" x14ac:dyDescent="0.3">
      <c r="B2" s="5" t="str">
        <f>IF($K$1="ENG","Stress test results","Результати стрес-тестування")</f>
        <v>Результати стрес-тестування</v>
      </c>
      <c r="C2" s="43">
        <v>31</v>
      </c>
      <c r="D2" s="42" t="e">
        <f>INDEX('Data table'!$C$10:$C$39,'Individual banks'!C2,1)</f>
        <v>#REF!</v>
      </c>
      <c r="E2" s="40"/>
      <c r="F2" s="40"/>
      <c r="G2" s="40"/>
    </row>
    <row r="3" spans="1:15" x14ac:dyDescent="0.25">
      <c r="B3" s="11"/>
      <c r="C3" s="11"/>
      <c r="D3" s="11"/>
      <c r="E3" s="11"/>
      <c r="F3" s="11"/>
      <c r="G3" s="11"/>
      <c r="H3" s="11"/>
      <c r="I3" s="11"/>
      <c r="K3" s="12" t="s">
        <v>0</v>
      </c>
    </row>
    <row r="4" spans="1:15" ht="27" customHeight="1" x14ac:dyDescent="0.25">
      <c r="B4" s="143" t="str">
        <f>IF($K$1="ENG","Indicator","Показник")</f>
        <v>Показник</v>
      </c>
      <c r="C4" s="138" t="str">
        <f>IF($K$1="ENG","Bank's data as of 1 Jan 2021","Дані банку на 01.01.21")</f>
        <v>Дані банку на 01.01.21</v>
      </c>
      <c r="D4" s="138" t="str">
        <f>IF($K$1="ENG","AQR as of 1 Jan 2021","AQR на 01.01.21")</f>
        <v>AQR на 01.01.21</v>
      </c>
      <c r="E4" s="138" t="str">
        <f>IF($K$1="ENG","Baseline scenario","За базовим макроекономічним сценарієм")</f>
        <v>За базовим макроекономічним сценарієм</v>
      </c>
      <c r="F4" s="138"/>
      <c r="G4" s="138"/>
      <c r="H4" s="138" t="str">
        <f>IF($K$1="ENG","Adverse scenario","За несприятливим макроекономічним сценарієм")</f>
        <v>За несприятливим макроекономічним сценарієм</v>
      </c>
      <c r="I4" s="138"/>
      <c r="J4" s="138"/>
      <c r="K4" s="138" t="str">
        <f>IF($K$1="ENG","Required (target) level","Необхідний (цільовий) рівень")</f>
        <v>Необхідний (цільовий) рівень</v>
      </c>
    </row>
    <row r="5" spans="1:15" ht="15.65" customHeight="1" x14ac:dyDescent="0.25">
      <c r="B5" s="143"/>
      <c r="C5" s="139"/>
      <c r="D5" s="139"/>
      <c r="E5" s="73" t="str">
        <f>'Data table'!P7</f>
        <v>1-й</v>
      </c>
      <c r="F5" s="73" t="str">
        <f>'Data table'!Q7</f>
        <v>2-й</v>
      </c>
      <c r="G5" s="73" t="str">
        <f>'Data table'!R7</f>
        <v>3-й</v>
      </c>
      <c r="H5" s="73" t="str">
        <f>E5</f>
        <v>1-й</v>
      </c>
      <c r="I5" s="73" t="str">
        <f>F5</f>
        <v>2-й</v>
      </c>
      <c r="J5" s="73" t="str">
        <f>G5</f>
        <v>3-й</v>
      </c>
      <c r="K5" s="139"/>
    </row>
    <row r="6" spans="1:15" ht="13.25" customHeight="1" x14ac:dyDescent="0.25">
      <c r="B6" s="143"/>
      <c r="C6" s="140"/>
      <c r="D6" s="140"/>
      <c r="E6" s="140" t="str">
        <f>'Data table'!P8</f>
        <v>прогнозний рік</v>
      </c>
      <c r="F6" s="140"/>
      <c r="G6" s="140"/>
      <c r="H6" s="140" t="str">
        <f>E6</f>
        <v>прогнозний рік</v>
      </c>
      <c r="I6" s="140"/>
      <c r="J6" s="140"/>
      <c r="K6" s="140"/>
    </row>
    <row r="7" spans="1:15" x14ac:dyDescent="0.25">
      <c r="B7" s="114" t="str">
        <f>'Data table'!E6</f>
        <v>ОК, млн грн</v>
      </c>
      <c r="C7" s="99" t="str">
        <f>IFERROR(INDEX('Data table'!$E$10:$AY$39,MATCH('Individual banks'!$D$2,'Data table'!$C$10:$C$39,0),MATCH('Individual banks'!$B7,'Data table'!$E$6:$I$6,0)),"")</f>
        <v/>
      </c>
      <c r="D7" s="99" t="str">
        <f ca="1">IFERROR(OFFSET(INDEX('Data table'!$E$10:$AY$39,MATCH('Individual banks'!$D$2,'Data table'!$C$10:$C$39,0),MATCH('Individual banks'!$B7,'Data table'!$J$6:$O$6,0)),0,5),"")</f>
        <v/>
      </c>
      <c r="E7" s="100" t="str">
        <f ca="1">IFERROR(OFFSET(INDEX('Data table'!$E$10:$AY$39,MATCH('Individual banks'!$D$2,'Data table'!$C$10:$C$39,0),MATCH(E$5,'Data table'!$P$7:$R$7,0)),0,11),"")</f>
        <v/>
      </c>
      <c r="F7" s="100" t="str">
        <f ca="1">IFERROR(OFFSET(INDEX('Data table'!$E$10:$AY$39,MATCH('Individual banks'!$D$2,'Data table'!$C$10:$C$39,0),MATCH(F$5,'Data table'!$P$7:$R$7,0)),0,11),"")</f>
        <v/>
      </c>
      <c r="G7" s="100" t="str">
        <f ca="1">IFERROR(OFFSET(INDEX('Data table'!$E$10:$AY$39,MATCH('Individual banks'!$D$2,'Data table'!$C$10:$C$39,0),MATCH(G$5,'Data table'!$P$7:$R$7,0)),0,11),"")</f>
        <v/>
      </c>
      <c r="H7" s="100" t="str">
        <f ca="1">IFERROR(OFFSET(INDEX('Data table'!$E$10:$AY$39,MATCH('Individual banks'!$D$2,'Data table'!$C$10:$C$39,0),MATCH(H$5,'Data table'!$P$7:$R$7,0)),0,26),"")</f>
        <v/>
      </c>
      <c r="I7" s="100" t="str">
        <f ca="1">IFERROR(OFFSET(INDEX('Data table'!$E$10:$AY$39,MATCH('Individual banks'!$D$2,'Data table'!$C$10:$C$39,0),MATCH(I$5,'Data table'!$P$7:$R$7,0)),0,26),"")</f>
        <v/>
      </c>
      <c r="J7" s="100" t="str">
        <f ca="1">IFERROR(OFFSET(INDEX('Data table'!$E$10:$AY$39,MATCH('Individual banks'!$D$2,'Data table'!$C$10:$C$39,0),MATCH(J$5,'Data table'!$P$7:$R$7,0)),0,26),"")</f>
        <v/>
      </c>
      <c r="K7" s="112" t="s">
        <v>3</v>
      </c>
      <c r="L7" s="36"/>
      <c r="M7" s="36"/>
      <c r="N7" s="50"/>
      <c r="O7" s="50"/>
    </row>
    <row r="8" spans="1:15" x14ac:dyDescent="0.25">
      <c r="B8" s="115" t="str">
        <f>'Data table'!F6</f>
        <v>РК, млн грн</v>
      </c>
      <c r="C8" s="101" t="str">
        <f>IFERROR(INDEX('Data table'!$E$10:$AY$39,MATCH('Individual banks'!$D$2,'Data table'!$C$10:$C$39,0),MATCH('Individual banks'!$B8,'Data table'!$E$6:$I$6,0)),"")</f>
        <v/>
      </c>
      <c r="D8" s="102" t="str">
        <f ca="1">IFERROR(OFFSET(INDEX('Data table'!$E$10:$AY$39,MATCH('Individual banks'!$D$2,'Data table'!$C$10:$C$39,0),MATCH('Individual banks'!$B8,'Data table'!$J$6:$O$6,0)),0,5),"")</f>
        <v/>
      </c>
      <c r="E8" s="103" t="str">
        <f ca="1">IFERROR(OFFSET(INDEX('Data table'!$E$10:$AY$39,MATCH('Individual banks'!$D$2,'Data table'!$C$10:$C$39,0),MATCH(E$5,'Data table'!$P$7:$R$7,0)),0,14),"")</f>
        <v/>
      </c>
      <c r="F8" s="103" t="str">
        <f ca="1">IFERROR(OFFSET(INDEX('Data table'!$E$10:$AY$39,MATCH('Individual banks'!$D$2,'Data table'!$C$10:$C$39,0),MATCH(F$5,'Data table'!$P$7:$R$7,0)),0,14),"")</f>
        <v/>
      </c>
      <c r="G8" s="103" t="str">
        <f ca="1">IFERROR(OFFSET(INDEX('Data table'!$E$10:$AY$39,MATCH('Individual banks'!$D$2,'Data table'!$C$10:$C$39,0),MATCH(G$5,'Data table'!$P$7:$R$7,0)),0,14),"")</f>
        <v/>
      </c>
      <c r="H8" s="103" t="str">
        <f ca="1">IFERROR(OFFSET(INDEX('Data table'!$E$10:$AY$39,MATCH('Individual banks'!$D$2,'Data table'!$C$10:$C$39,0),MATCH(H$5,'Data table'!$P$7:$R$7,0)),0,29),"")</f>
        <v/>
      </c>
      <c r="I8" s="103" t="str">
        <f ca="1">IFERROR(OFFSET(INDEX('Data table'!$E$10:$AY$39,MATCH('Individual banks'!$D$2,'Data table'!$C$10:$C$39,0),MATCH(I$5,'Data table'!$P$7:$R$7,0)),0,29),"")</f>
        <v/>
      </c>
      <c r="J8" s="103" t="str">
        <f ca="1">IFERROR(OFFSET(INDEX('Data table'!$E$10:$AY$39,MATCH('Individual banks'!$D$2,'Data table'!$C$10:$C$39,0),MATCH(J$5,'Data table'!$P$7:$R$7,0)),0,29),"")</f>
        <v/>
      </c>
      <c r="K8" s="70" t="s">
        <v>3</v>
      </c>
      <c r="L8" s="36"/>
      <c r="M8" s="36"/>
      <c r="N8" s="50"/>
      <c r="O8" s="50"/>
    </row>
    <row r="9" spans="1:15" ht="13" x14ac:dyDescent="0.3">
      <c r="B9" s="116" t="str">
        <f>'Data table'!G6</f>
        <v>Н2</v>
      </c>
      <c r="C9" s="94" t="str">
        <f>IFERROR(INDEX('Data table'!$E$10:$AY$39,MATCH('Individual banks'!$D$2,'Data table'!$C$10:$C$39,0),MATCH('Individual banks'!$B9,'Data table'!$E$6:$I$6,0)),"")</f>
        <v/>
      </c>
      <c r="D9" s="104" t="str">
        <f ca="1">IFERROR(OFFSET(INDEX('Data table'!$E$10:$AY$39,MATCH('Individual banks'!$D$2,'Data table'!$C$10:$C$39,0),MATCH('Individual banks'!$B9,'Data table'!$J$6:$O$6,0)),0,5),"")</f>
        <v/>
      </c>
      <c r="E9" s="105" t="str">
        <f ca="1">IFERROR(OFFSET(INDEX('Data table'!$E$10:$AY$39,MATCH('Individual banks'!$D$2,'Data table'!$C$10:$C$39,0),MATCH(E$5,'Data table'!$P$7:$R$7,0)),0,17),"")</f>
        <v/>
      </c>
      <c r="F9" s="105" t="str">
        <f ca="1">IFERROR(OFFSET(INDEX('Data table'!$E$10:$AY$39,MATCH('Individual banks'!$D$2,'Data table'!$C$10:$C$39,0),MATCH(F$5,'Data table'!$P$7:$R$7,0)),0,17),"")</f>
        <v/>
      </c>
      <c r="G9" s="105" t="str">
        <f ca="1">IFERROR(OFFSET(INDEX('Data table'!$E$10:$AY$39,MATCH('Individual banks'!$D$2,'Data table'!$C$10:$C$39,0),MATCH(G$5,'Data table'!$P$7:$R$7,0)),0,17),"")</f>
        <v/>
      </c>
      <c r="H9" s="105" t="str">
        <f ca="1">IFERROR(OFFSET(INDEX('Data table'!$E$10:$AY$39,MATCH('Individual banks'!$D$2,'Data table'!$C$10:$C$39,0),MATCH(H$5,'Data table'!$P$7:$R$7,0)),0,32),"")</f>
        <v/>
      </c>
      <c r="I9" s="105" t="str">
        <f ca="1">IFERROR(OFFSET(INDEX('Data table'!$E$10:$AY$39,MATCH('Individual banks'!$D$2,'Data table'!$C$10:$C$39,0),MATCH(I$5,'Data table'!$P$7:$R$7,0)),0,32),"")</f>
        <v/>
      </c>
      <c r="J9" s="105" t="str">
        <f ca="1">IFERROR(OFFSET(INDEX('Data table'!$E$10:$AY$39,MATCH('Individual banks'!$D$2,'Data table'!$C$10:$C$39,0),MATCH(J$5,'Data table'!$P$7:$R$7,0)),0,32),"")</f>
        <v/>
      </c>
      <c r="K9" s="106" t="str">
        <f>IFERROR(INDEX('Data table'!$AV$10:$AV$39,MATCH('Individual banks'!$D$2,'Data table'!$C$10:$C$39,0),1),"")</f>
        <v/>
      </c>
      <c r="L9" s="71" t="str">
        <f>IF(OR(K9=10%,K9=""),"",IF($K$1="ENG","Above the minimal required capital adequacy level","Вищий за мінімальний необхідний рівень достатності капіталу"))</f>
        <v/>
      </c>
    </row>
    <row r="10" spans="1:15" ht="13" x14ac:dyDescent="0.3">
      <c r="B10" s="117" t="str">
        <f>'Data table'!H6</f>
        <v>Н3</v>
      </c>
      <c r="C10" s="107" t="str">
        <f>IFERROR(INDEX('Data table'!$E$10:$AY$39,MATCH('Individual banks'!$D$2,'Data table'!$C$10:$C$39,0),MATCH('Individual banks'!$B10,'Data table'!$E$6:$I$6,0)),"")</f>
        <v/>
      </c>
      <c r="D10" s="108" t="str">
        <f ca="1">IFERROR(OFFSET(INDEX('Data table'!$E$10:$AY$39,MATCH('Individual banks'!$D$2,'Data table'!$C$10:$C$39,0),MATCH('Individual banks'!$B10,'Data table'!$J$6:$O$6,0)),0,5),"")</f>
        <v/>
      </c>
      <c r="E10" s="109" t="str">
        <f ca="1">IFERROR(OFFSET(INDEX('Data table'!$E$10:$AY$39,MATCH('Individual banks'!$D$2,'Data table'!$C$10:$C$39,0),MATCH(E$5,'Data table'!$P$7:$R$7,0)),0,20),"")</f>
        <v/>
      </c>
      <c r="F10" s="109" t="str">
        <f ca="1">IFERROR(OFFSET(INDEX('Data table'!$E$10:$AY$39,MATCH('Individual banks'!$D$2,'Data table'!$C$10:$C$39,0),MATCH(F$5,'Data table'!$P$7:$R$7,0)),0,20),"")</f>
        <v/>
      </c>
      <c r="G10" s="109" t="str">
        <f ca="1">IFERROR(OFFSET(INDEX('Data table'!$E$10:$AY$39,MATCH('Individual banks'!$D$2,'Data table'!$C$10:$C$39,0),MATCH(G$5,'Data table'!$P$7:$R$7,0)),0,20),"")</f>
        <v/>
      </c>
      <c r="H10" s="109" t="str">
        <f ca="1">IFERROR(OFFSET(INDEX('Data table'!$E$10:$AY$39,MATCH('Individual banks'!$D$2,'Data table'!$C$10:$C$39,0),MATCH(H$5,'Data table'!$P$7:$R$7,0)),0,35),"")</f>
        <v/>
      </c>
      <c r="I10" s="109" t="str">
        <f ca="1">IFERROR(OFFSET(INDEX('Data table'!$E$10:$AY$39,MATCH('Individual banks'!$D$2,'Data table'!$C$10:$C$39,0),MATCH(I$5,'Data table'!$P$7:$R$7,0)),0,35),"")</f>
        <v/>
      </c>
      <c r="J10" s="109" t="str">
        <f ca="1">IFERROR(OFFSET(INDEX('Data table'!$E$10:$AY$39,MATCH('Individual banks'!$D$2,'Data table'!$C$10:$C$39,0),MATCH(J$5,'Data table'!$P$7:$R$7,0)),0,35),"")</f>
        <v/>
      </c>
      <c r="K10" s="110" t="str">
        <f>IFERROR(INDEX('Data table'!$AW$10:$AW$39,MATCH('Individual banks'!$D$2,'Data table'!$C$10:$C$39,0),1),"")</f>
        <v/>
      </c>
      <c r="L10" s="71" t="str">
        <f>IF(OR(K10=7%,K10=""),"",IF($K$1="ENG","Above the minimal required capital adequacy level","Вищий за мінімальний необхідний рівень достатності капіталу"))</f>
        <v/>
      </c>
      <c r="M10" s="36"/>
      <c r="N10" s="50"/>
      <c r="O10" s="50"/>
    </row>
    <row r="11" spans="1:15" ht="13.25" customHeight="1" x14ac:dyDescent="0.25">
      <c r="B11" s="118" t="str">
        <f>IF($K$1="ENG","Hurdle rate of core capital ratio","Граничне значення Н3")</f>
        <v>Граничне значення Н3</v>
      </c>
      <c r="C11" s="111" t="str">
        <f>IF(C7="","",7%)</f>
        <v/>
      </c>
      <c r="D11" s="111" t="str">
        <f ca="1">IF(D7="","",7%)</f>
        <v/>
      </c>
      <c r="E11" s="111" t="str">
        <f ca="1">IF(E7="","",7%)</f>
        <v/>
      </c>
      <c r="F11" s="111" t="str">
        <f ca="1">IF(F7="","",7%)</f>
        <v/>
      </c>
      <c r="G11" s="111" t="str">
        <f ca="1">IF(G7="","",7%)</f>
        <v/>
      </c>
      <c r="H11" s="111" t="str">
        <f ca="1">IF(H7="","",3.5%)</f>
        <v/>
      </c>
      <c r="I11" s="111" t="str">
        <f ca="1">IF(I7="","",3.5%)</f>
        <v/>
      </c>
      <c r="J11" s="111" t="str">
        <f ca="1">IF(J7="","",3.5%)</f>
        <v/>
      </c>
      <c r="K11" s="113" t="s">
        <v>3</v>
      </c>
      <c r="L11" s="36"/>
      <c r="M11" s="36"/>
      <c r="N11" s="50"/>
      <c r="O11" s="50"/>
    </row>
    <row r="12" spans="1:15" ht="25.25" customHeight="1" x14ac:dyDescent="0.25">
      <c r="A12" s="21"/>
      <c r="B12" s="120" t="str">
        <f>IF($K$1="ENG","Change of core capital ratio relative to bank's data as of 1 Jan 2021, pp","Зміна Н3 до даних банку на 01.01.21, в.п.")</f>
        <v>Зміна Н3 до даних банку на 01.01.21, в.п.</v>
      </c>
      <c r="C12" s="119" t="str">
        <f>IFERROR((C10-$C$10)*100,"")</f>
        <v/>
      </c>
      <c r="D12" s="119" t="str">
        <f ca="1">IFERROR((D10-$C$10)*100,"")</f>
        <v/>
      </c>
      <c r="E12" s="119" t="str">
        <f t="shared" ref="E12:J12" ca="1" si="0">IFERROR((E10-$C$10)*100,"")</f>
        <v/>
      </c>
      <c r="F12" s="119" t="str">
        <f t="shared" ca="1" si="0"/>
        <v/>
      </c>
      <c r="G12" s="119" t="str">
        <f t="shared" ca="1" si="0"/>
        <v/>
      </c>
      <c r="H12" s="119" t="str">
        <f t="shared" ca="1" si="0"/>
        <v/>
      </c>
      <c r="I12" s="119" t="str">
        <f t="shared" ca="1" si="0"/>
        <v/>
      </c>
      <c r="J12" s="119" t="str">
        <f t="shared" ca="1" si="0"/>
        <v/>
      </c>
      <c r="K12" s="98" t="s">
        <v>3</v>
      </c>
      <c r="L12" s="36"/>
      <c r="M12" s="36"/>
      <c r="N12" s="50" t="str">
        <f>IFERROR(CONCATENATE(B25,G4),B25)</f>
        <v/>
      </c>
      <c r="O12" s="50"/>
    </row>
    <row r="13" spans="1:15" ht="12.65" customHeight="1" x14ac:dyDescent="0.25">
      <c r="B13" s="121" t="str">
        <f>IF($K$1="ENG","AQR – data of asset quality review and collateral eligibility assessment for bank lending, including adjustments in the bank’s financial statements for the reporting year and extrapolation","AQR -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екстраполяції")</f>
        <v>AQR -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v>
      </c>
      <c r="J13" s="6"/>
      <c r="K13" s="6"/>
      <c r="L13" s="6"/>
      <c r="M13" s="6"/>
      <c r="N13" s="6"/>
    </row>
    <row r="14" spans="1:15" ht="9" customHeight="1" x14ac:dyDescent="0.25">
      <c r="B14" s="57" t="str">
        <f>IF($K$1="ENG","","ОК - основний капітал, РК - регулятивний капітал, Н2 - норматив достатності (адекватності) регулятивного капіталу, Н3 - норматив достатності (адекватності) основного капіталу.")</f>
        <v>ОК - основний капітал, РК - регулятивний капітал, Н2 - норматив достатності (адекватності) регулятивного капіталу, Н3 - норматив достатності (адекватності) основного капіталу.</v>
      </c>
      <c r="J14" s="6"/>
      <c r="K14" s="6"/>
      <c r="L14" s="29"/>
      <c r="M14" s="29"/>
      <c r="N14" s="51"/>
      <c r="O14" s="50"/>
    </row>
    <row r="15" spans="1:15" ht="31.75" customHeight="1" x14ac:dyDescent="0.25">
      <c r="B15" s="144" t="str">
        <f>IFERROR(IF(OR($D$2="Альфа-Банк**",$D$2="Укрсоцбанк**",$D$2="Alfa-Bank**",$D$2="Ukrsotsbank**"),'Data table'!$A$45,""),"")</f>
        <v/>
      </c>
      <c r="C15" s="144"/>
      <c r="D15" s="144"/>
      <c r="E15" s="144"/>
      <c r="F15" s="144"/>
      <c r="G15" s="144"/>
      <c r="H15" s="144"/>
      <c r="I15" s="144"/>
      <c r="J15" s="144"/>
      <c r="K15" s="144"/>
      <c r="L15" s="36"/>
      <c r="M15" s="36"/>
      <c r="N15" s="50"/>
      <c r="O15" s="50"/>
    </row>
    <row r="16" spans="1:15" ht="27.65" customHeight="1" x14ac:dyDescent="0.25">
      <c r="C16" s="142" t="str">
        <f>IF($K$1="ENG","Core capital ratio","Норматив достатності основного капіталу Н3")</f>
        <v>Норматив достатності основного капіталу Н3</v>
      </c>
      <c r="D16" s="142"/>
      <c r="E16" s="142"/>
      <c r="F16" s="142"/>
      <c r="G16" s="141" t="str">
        <f>B12</f>
        <v>Зміна Н3 до даних банку на 01.01.21, в.п.</v>
      </c>
      <c r="H16" s="141"/>
      <c r="I16" s="141"/>
      <c r="J16" s="141"/>
      <c r="L16" s="36"/>
      <c r="M16" s="36"/>
      <c r="N16" s="50"/>
      <c r="O16" s="50"/>
    </row>
    <row r="33" spans="2:2" x14ac:dyDescent="0.25">
      <c r="B33" s="60" t="str">
        <f>IF($K$1="ENG","Hurdle rate of core capital ratio under baseline scenario","Граничне значення Н3 за базового сценарію")</f>
        <v>Граничне значення Н3 за базового сценарію</v>
      </c>
    </row>
    <row r="34" spans="2:2" x14ac:dyDescent="0.25">
      <c r="B34" s="60" t="str">
        <f>IF($K$1="ENG","Hurdle rate of core capital ratio under adverse scenario","Граничне значення Н3 за несприятливого сценарію")</f>
        <v>Граничне значення Н3 за несприятливого сценарію</v>
      </c>
    </row>
    <row r="35" spans="2:2" x14ac:dyDescent="0.25">
      <c r="B35" s="64" t="s">
        <v>2</v>
      </c>
    </row>
    <row r="36" spans="2:2" x14ac:dyDescent="0.25">
      <c r="B36" s="64" t="s">
        <v>1</v>
      </c>
    </row>
  </sheetData>
  <mergeCells count="11">
    <mergeCell ref="K4:K6"/>
    <mergeCell ref="G16:J16"/>
    <mergeCell ref="C16:F16"/>
    <mergeCell ref="C4:C6"/>
    <mergeCell ref="B4:B6"/>
    <mergeCell ref="E6:G6"/>
    <mergeCell ref="H6:J6"/>
    <mergeCell ref="E4:G4"/>
    <mergeCell ref="H4:J4"/>
    <mergeCell ref="D4:D6"/>
    <mergeCell ref="B15:K15"/>
  </mergeCells>
  <conditionalFormatting sqref="K9">
    <cfRule type="cellIs" dxfId="4" priority="2" operator="equal">
      <formula>0.1</formula>
    </cfRule>
  </conditionalFormatting>
  <conditionalFormatting sqref="K10">
    <cfRule type="cellIs" dxfId="3" priority="1" operator="equal">
      <formula>0.07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Drop Down 10">
              <controlPr defaultSize="0" autoLine="0" autoPict="0">
                <anchor moveWithCells="1">
                  <from>
                    <xdr:col>1</xdr:col>
                    <xdr:colOff>2501900</xdr:colOff>
                    <xdr:row>0</xdr:row>
                    <xdr:rowOff>88900</xdr:rowOff>
                  </from>
                  <to>
                    <xdr:col>4</xdr:col>
                    <xdr:colOff>736600</xdr:colOff>
                    <xdr:row>1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Drop Down 15">
              <controlPr defaultSize="0" autoLine="0" autoPict="0">
                <anchor moveWithCells="1">
                  <from>
                    <xdr:col>9</xdr:col>
                    <xdr:colOff>698500</xdr:colOff>
                    <xdr:row>0</xdr:row>
                    <xdr:rowOff>12700</xdr:rowOff>
                  </from>
                  <to>
                    <xdr:col>11</xdr:col>
                    <xdr:colOff>31750</xdr:colOff>
                    <xdr:row>1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Аркуш2"/>
  <dimension ref="B1:R39"/>
  <sheetViews>
    <sheetView zoomScale="80" zoomScaleNormal="80" workbookViewId="0">
      <selection activeCell="H3" sqref="H3"/>
    </sheetView>
  </sheetViews>
  <sheetFormatPr defaultColWidth="8.90625" defaultRowHeight="12.5" x14ac:dyDescent="0.25"/>
  <cols>
    <col min="1" max="1" width="4" style="1" customWidth="1"/>
    <col min="2" max="2" width="24.453125" style="1" customWidth="1"/>
    <col min="3" max="3" width="12" style="1" customWidth="1"/>
    <col min="4" max="4" width="12.90625" style="1" customWidth="1"/>
    <col min="5" max="5" width="11.90625" style="1" customWidth="1"/>
    <col min="6" max="6" width="12.6328125" style="1" customWidth="1"/>
    <col min="7" max="7" width="13.1796875" style="1" customWidth="1"/>
    <col min="8" max="8" width="11.90625" style="1" customWidth="1"/>
    <col min="9" max="10" width="10.36328125" style="1" customWidth="1"/>
    <col min="11" max="11" width="12.08984375" style="1" customWidth="1"/>
    <col min="12" max="12" width="11.90625" style="1" customWidth="1"/>
    <col min="13" max="14" width="10.36328125" style="1" customWidth="1"/>
    <col min="15" max="18" width="11.6328125" style="1" customWidth="1"/>
    <col min="19" max="19" width="8.90625" style="1" customWidth="1"/>
    <col min="20" max="16384" width="8.90625" style="1"/>
  </cols>
  <sheetData>
    <row r="1" spans="2:18" ht="13" x14ac:dyDescent="0.3">
      <c r="K1" s="56" t="str">
        <f>'Individual banks'!K1</f>
        <v>UA</v>
      </c>
      <c r="L1" s="62" t="str">
        <f>IF($K$1="ENG","Змінити мову тут","Change language here")</f>
        <v>Change language here</v>
      </c>
    </row>
    <row r="2" spans="2:18" ht="13" x14ac:dyDescent="0.3">
      <c r="B2" s="45" t="str">
        <f>IF($K$1="ENG","Stress test results (compared to 2019 results)","Результати стрес-тестування банку (порівняння з 2019 роком)")</f>
        <v>Результати стрес-тестування банку (порівняння з 2019 роком)</v>
      </c>
      <c r="H2" s="1">
        <v>31</v>
      </c>
      <c r="I2" s="1" t="str">
        <f>IFERROR(INDEX('Data table'!$C$10:$C$39,H2,1),"")</f>
        <v/>
      </c>
    </row>
    <row r="3" spans="2:18" x14ac:dyDescent="0.25">
      <c r="B3" s="11"/>
      <c r="C3" s="6"/>
      <c r="D3" s="6"/>
      <c r="E3" s="6"/>
      <c r="F3" s="6"/>
      <c r="G3" s="6"/>
      <c r="I3" s="6"/>
      <c r="J3" s="12" t="s">
        <v>0</v>
      </c>
      <c r="K3" s="7"/>
      <c r="L3" s="7"/>
      <c r="M3" s="7"/>
      <c r="N3" s="7"/>
      <c r="O3" s="7"/>
      <c r="P3" s="7"/>
      <c r="Q3" s="7"/>
      <c r="R3" s="7"/>
    </row>
    <row r="4" spans="2:18" ht="18" customHeight="1" x14ac:dyDescent="0.25">
      <c r="B4" s="143" t="str">
        <f>IF($K$1="ENG","Indicator","Показник")</f>
        <v>Показник</v>
      </c>
      <c r="C4" s="145" t="str">
        <f>IFERROR(I2,"")</f>
        <v/>
      </c>
      <c r="D4" s="145"/>
      <c r="E4" s="145"/>
      <c r="F4" s="145"/>
      <c r="G4" s="145"/>
      <c r="H4" s="145"/>
      <c r="I4" s="145"/>
      <c r="J4" s="76"/>
      <c r="K4" s="7"/>
      <c r="L4" s="7"/>
      <c r="M4" s="7"/>
      <c r="N4" s="7"/>
      <c r="O4" s="7"/>
      <c r="P4" s="7"/>
      <c r="Q4" s="7"/>
      <c r="R4" s="7"/>
    </row>
    <row r="5" spans="2:18" ht="15.65" customHeight="1" x14ac:dyDescent="0.25">
      <c r="B5" s="143"/>
      <c r="C5" s="143" t="str">
        <f>IF($K$1="ENG","2021 stress test","стрес-тестування 2021 року")</f>
        <v>стрес-тестування 2021 року</v>
      </c>
      <c r="D5" s="143"/>
      <c r="E5" s="143"/>
      <c r="F5" s="143"/>
      <c r="G5" s="143" t="str">
        <f>IF($K$1="ENG","2019 stress test","стрес-тестування 2019 року")</f>
        <v>стрес-тестування 2019 року</v>
      </c>
      <c r="H5" s="143"/>
      <c r="I5" s="143"/>
      <c r="J5" s="143"/>
      <c r="K5" s="29"/>
      <c r="L5" s="29"/>
      <c r="M5" s="7"/>
      <c r="N5" s="7"/>
      <c r="O5" s="29"/>
      <c r="P5" s="29"/>
      <c r="Q5" s="7"/>
      <c r="R5" s="7"/>
    </row>
    <row r="6" spans="2:18" ht="36.65" customHeight="1" x14ac:dyDescent="0.25">
      <c r="B6" s="150"/>
      <c r="C6" s="74" t="str">
        <f>'Data table'!E6</f>
        <v>ОК, млн грн</v>
      </c>
      <c r="D6" s="74" t="str">
        <f>'Data table'!F6</f>
        <v>РК, млн грн</v>
      </c>
      <c r="E6" s="74" t="str">
        <f>'Data table'!G6</f>
        <v>Н2</v>
      </c>
      <c r="F6" s="74" t="str">
        <f>'Data table'!H6</f>
        <v>Н3</v>
      </c>
      <c r="G6" s="74" t="str">
        <f>C6</f>
        <v>ОК, млн грн</v>
      </c>
      <c r="H6" s="74" t="str">
        <f>D6</f>
        <v>РК, млн грн</v>
      </c>
      <c r="I6" s="74" t="str">
        <f>E6</f>
        <v>Н2</v>
      </c>
      <c r="J6" s="74" t="str">
        <f>F6</f>
        <v>Н3</v>
      </c>
      <c r="K6" s="29"/>
      <c r="L6" s="29"/>
      <c r="M6" s="7"/>
      <c r="N6" s="7"/>
      <c r="O6" s="29"/>
      <c r="P6" s="29"/>
      <c r="Q6" s="7"/>
      <c r="R6" s="7"/>
    </row>
    <row r="7" spans="2:18" x14ac:dyDescent="0.25">
      <c r="B7" s="23" t="str">
        <f>'Individual banks'!C4</f>
        <v>Дані банку на 01.01.21</v>
      </c>
      <c r="C7" s="28" t="str">
        <f>IFERROR(INDEX('Data table'!$E$10:$AY$39,MATCH('Comparison with 2019'!$C$4,'Data table'!$C$10:$C$39,0),MATCH('Comparison with 2019'!C$6,'Data table'!$E$6:$I$6,0)),"")</f>
        <v/>
      </c>
      <c r="D7" s="28" t="str">
        <f>IFERROR(INDEX('Data table'!$E$10:$AY$39,MATCH('Comparison with 2019'!$C$4,'Data table'!$C$10:$C$39,0),MATCH('Comparison with 2019'!D$6,'Data table'!$E$6:$I$6,0)),"")</f>
        <v/>
      </c>
      <c r="E7" s="18" t="str">
        <f>IFERROR(INDEX('Data table'!$E$10:$AY$39,MATCH('Comparison with 2019'!$C$4,'Data table'!$C$10:$C$39,0),MATCH('Comparison with 2019'!E$6,'Data table'!$E$6:$I$6,0)),"")</f>
        <v/>
      </c>
      <c r="F7" s="18" t="str">
        <f>IFERROR(INDEX('Data table'!$E$10:$AY$39,MATCH('Comparison with 2019'!$C$4,'Data table'!$C$10:$C$39,0),MATCH('Comparison with 2019'!F$6,'Data table'!$E$6:$I$6,0)),"")</f>
        <v/>
      </c>
      <c r="G7" s="28" t="str">
        <f>IFERROR(INDEX('Data table 2019'!$E$10:$BC$39,MATCH('Comparison with 2019'!$C$4,'Data table 2019'!$C$10:$C$39,0),MATCH('Comparison with 2019'!G$6,'Data table 2019'!$E$6:$I$6,0)),"")</f>
        <v/>
      </c>
      <c r="H7" s="28" t="str">
        <f>IFERROR(INDEX('Data table 2019'!$E$10:$BC$39,MATCH('Comparison with 2019'!$C$4,'Data table 2019'!$C$10:$C$39,0),MATCH('Comparison with 2019'!H$6,'Data table 2019'!$E$6:$I$6,0)),"")</f>
        <v/>
      </c>
      <c r="I7" s="18" t="str">
        <f>IFERROR(INDEX('Data table 2019'!$E$10:$BC$39,MATCH('Comparison with 2019'!$C$4,'Data table 2019'!$C$10:$C$39,0),MATCH('Comparison with 2019'!I$6,'Data table 2019'!$E$6:$I$6,0)),"")</f>
        <v/>
      </c>
      <c r="J7" s="13" t="str">
        <f>IFERROR(INDEX('Data table 2019'!$E$10:$BC$39,MATCH('Comparison with 2019'!$C$4,'Data table 2019'!$C$10:$C$39,0),MATCH('Comparison with 2019'!J$6,'Data table 2019'!$E$6:$I$6,0)),"")</f>
        <v/>
      </c>
      <c r="K7" s="29"/>
      <c r="L7" s="29"/>
      <c r="M7" s="7"/>
      <c r="N7" s="7"/>
      <c r="O7" s="29"/>
      <c r="P7" s="29"/>
      <c r="Q7" s="7"/>
      <c r="R7" s="7"/>
    </row>
    <row r="8" spans="2:18" x14ac:dyDescent="0.25">
      <c r="B8" s="20" t="str">
        <f>'Individual banks'!D4</f>
        <v>AQR на 01.01.21</v>
      </c>
      <c r="C8" s="16" t="str">
        <f ca="1">IFERROR(OFFSET(INDEX('Data table'!$E$10:$AY$39,MATCH('Comparison with 2019'!$C$4,'Data table'!$C$10:$C$39,0),MATCH('Comparison with 2019'!C$6,'Data table'!$J$6:$O$6,0)),0,5),"")</f>
        <v/>
      </c>
      <c r="D8" s="16" t="str">
        <f ca="1">IFERROR(OFFSET(INDEX('Data table'!$E$10:$AY$39,MATCH('Comparison with 2019'!$C$4,'Data table'!$C$10:$C$39,0),MATCH('Comparison with 2019'!D$6,'Data table'!$J$6:$O$6,0)),0,5),"")</f>
        <v/>
      </c>
      <c r="E8" s="13" t="str">
        <f ca="1">IFERROR(OFFSET(INDEX('Data table'!$E$10:$AY$39,MATCH('Comparison with 2019'!$C$4,'Data table'!$C$10:$C$39,0),MATCH('Comparison with 2019'!E$6,'Data table'!$J$6:$O$6,0)),0,5),"")</f>
        <v/>
      </c>
      <c r="F8" s="13" t="str">
        <f ca="1">IFERROR(OFFSET(INDEX('Data table'!$E$10:$AY$39,MATCH('Comparison with 2019'!$C$4,'Data table'!$C$10:$C$39,0),MATCH('Comparison with 2019'!F$6,'Data table'!$J$6:$O$6,0)),0,5),"")</f>
        <v/>
      </c>
      <c r="G8" s="16" t="str">
        <f ca="1">IFERROR(OFFSET(INDEX('Data table 2019'!$E$10:$BC$39,MATCH('Comparison with 2019'!$C$4,'Data table 2019'!$C$10:$C$39,0),MATCH('Comparison with 2019'!G$6,'Data table 2019'!$J$6:$O$6,0)),0,5),"")</f>
        <v/>
      </c>
      <c r="H8" s="16" t="str">
        <f ca="1">IFERROR(OFFSET(INDEX('Data table 2019'!$E$10:$BC$39,MATCH('Comparison with 2019'!$C$4,'Data table 2019'!$C$10:$C$39,0),MATCH('Comparison with 2019'!H$6,'Data table 2019'!$J$6:$O$6,0)),0,5),"")</f>
        <v/>
      </c>
      <c r="I8" s="13" t="str">
        <f ca="1">IFERROR(OFFSET(INDEX('Data table 2019'!$E$10:$BC$39,MATCH('Comparison with 2019'!$C$4,'Data table 2019'!$C$10:$C$39,0),MATCH('Comparison with 2019'!I$6,'Data table 2019'!$J$6:$O$6,0)),0,5),"")</f>
        <v/>
      </c>
      <c r="J8" s="13" t="str">
        <f ca="1">IFERROR(OFFSET(INDEX('Data table 2019'!$E$10:$BC$39,MATCH('Comparison with 2019'!$C$4,'Data table 2019'!$C$10:$C$39,0),MATCH('Comparison with 2019'!J$6,'Data table 2019'!$J$6:$O$6,0)),0,5),"")</f>
        <v/>
      </c>
      <c r="K8" s="29"/>
      <c r="L8" s="29"/>
      <c r="M8" s="7"/>
      <c r="N8" s="7"/>
      <c r="O8" s="29"/>
      <c r="P8" s="29"/>
      <c r="Q8" s="7"/>
      <c r="R8" s="7"/>
    </row>
    <row r="9" spans="2:18" ht="13.25" customHeight="1" x14ac:dyDescent="0.25">
      <c r="B9" s="47" t="str">
        <f>'Comparison with group'!B9</f>
        <v>Прогнозний рік</v>
      </c>
      <c r="C9" s="147" t="str">
        <f>'Comparison with group'!C9:O9</f>
        <v>За базовим макроекономічним сценарієм</v>
      </c>
      <c r="D9" s="148"/>
      <c r="E9" s="148"/>
      <c r="F9" s="148"/>
      <c r="G9" s="148"/>
      <c r="H9" s="148"/>
      <c r="I9" s="148"/>
      <c r="J9" s="149"/>
      <c r="K9" s="29"/>
      <c r="L9" s="29"/>
      <c r="M9" s="7"/>
      <c r="N9" s="7"/>
      <c r="O9" s="29"/>
      <c r="P9" s="29"/>
      <c r="Q9" s="7"/>
      <c r="R9" s="7"/>
    </row>
    <row r="10" spans="2:18" x14ac:dyDescent="0.25">
      <c r="B10" s="39" t="str">
        <f>'Data table'!P7</f>
        <v>1-й</v>
      </c>
      <c r="C10" s="16" t="str">
        <f ca="1">IFERROR(OFFSET(INDEX('Data table'!$E$10:$AY$39,MATCH('Comparison with 2019'!$C$4,'Data table'!$C$10:$C$39,0),MATCH($B10,'Data table'!$P$7:$R$7,0)),0,11),"")</f>
        <v/>
      </c>
      <c r="D10" s="16" t="str">
        <f ca="1">IFERROR(OFFSET(INDEX('Data table'!$E$10:$AY$39,MATCH('Comparison with 2019'!$C$4,'Data table'!$C$10:$C$39,0),MATCH($B10,'Data table'!$P$7:$R$7,0)),0,14),"")</f>
        <v/>
      </c>
      <c r="E10" s="13" t="str">
        <f ca="1">IFERROR(OFFSET(INDEX('Data table'!$E$10:$AY$39,MATCH('Comparison with 2019'!$C$4,'Data table'!$C$10:$C$39,0),MATCH($B10,'Data table'!$P$7:$R$7,0)),0,17),"")</f>
        <v/>
      </c>
      <c r="F10" s="13" t="str">
        <f ca="1">IFERROR(OFFSET(INDEX('Data table'!$E$10:$AY$39,MATCH('Comparison with 2019'!$C$4,'Data table'!$C$10:$C$39,0),MATCH($B10,'Data table'!$P$7:$R$7,0)),0,20),"")</f>
        <v/>
      </c>
      <c r="G10" s="16" t="str">
        <f ca="1">IFERROR(OFFSET(INDEX('Data table 2019'!$E$10:$BC$39,MATCH('Comparison with 2019'!$C$4,'Data table 2019'!$C$10:$C$39,0),MATCH($B10,'Data table 2019'!$P$7:$R$7,0)),0,11),"")</f>
        <v/>
      </c>
      <c r="H10" s="16" t="str">
        <f ca="1">IFERROR(OFFSET(INDEX('Data table 2019'!$E$10:$BC$39,MATCH('Comparison with 2019'!$C$4,'Data table 2019'!$C$10:$C$39,0),MATCH($B10,'Data table 2019'!$P$7:$R$7,0)),0,14),"")</f>
        <v/>
      </c>
      <c r="I10" s="13" t="str">
        <f ca="1">IFERROR(OFFSET(INDEX('Data table 2019'!$E$10:$BC$39,MATCH('Comparison with 2019'!$C$4,'Data table 2019'!$C$10:$C$39,0),MATCH($B10,'Data table 2019'!$P$7:$R$7,0)),0,17),"")</f>
        <v/>
      </c>
      <c r="J10" s="13" t="str">
        <f ca="1">IFERROR(OFFSET(INDEX('Data table 2019'!$E$10:$BC$39,MATCH('Comparison with 2019'!$C$4,'Data table 2019'!$C$10:$C$39,0),MATCH($B10,'Data table 2019'!$P$7:$R$7,0)),0,20),"")</f>
        <v/>
      </c>
      <c r="K10" s="29"/>
      <c r="L10" s="29"/>
      <c r="M10" s="7"/>
      <c r="N10" s="7"/>
      <c r="O10" s="29"/>
      <c r="P10" s="29"/>
      <c r="Q10" s="7"/>
      <c r="R10" s="7"/>
    </row>
    <row r="11" spans="2:18" x14ac:dyDescent="0.25">
      <c r="B11" s="39" t="str">
        <f>'Data table'!Q7</f>
        <v>2-й</v>
      </c>
      <c r="C11" s="16" t="str">
        <f ca="1">IFERROR(OFFSET(INDEX('Data table'!$E$10:$AY$39,MATCH('Comparison with 2019'!$C$4,'Data table'!$C$10:$C$39,0),MATCH($B11,'Data table'!$P$7:$R$7,0)),0,11),"")</f>
        <v/>
      </c>
      <c r="D11" s="16" t="str">
        <f ca="1">IFERROR(OFFSET(INDEX('Data table'!$E$10:$AY$39,MATCH('Comparison with 2019'!$C$4,'Data table'!$C$10:$C$39,0),MATCH($B11,'Data table'!$P$7:$R$7,0)),0,14),"")</f>
        <v/>
      </c>
      <c r="E11" s="13" t="str">
        <f ca="1">IFERROR(OFFSET(INDEX('Data table'!$E$10:$AY$39,MATCH('Comparison with 2019'!$C$4,'Data table'!$C$10:$C$39,0),MATCH($B11,'Data table'!$P$7:$R$7,0)),0,17),"")</f>
        <v/>
      </c>
      <c r="F11" s="13" t="str">
        <f ca="1">IFERROR(OFFSET(INDEX('Data table'!$E$10:$AY$39,MATCH('Comparison with 2019'!$C$4,'Data table'!$C$10:$C$39,0),MATCH($B11,'Data table'!$P$7:$R$7,0)),0,20),"")</f>
        <v/>
      </c>
      <c r="G11" s="16" t="str">
        <f ca="1">IFERROR(OFFSET(INDEX('Data table 2019'!$E$10:$BC$39,MATCH('Comparison with 2019'!$C$4,'Data table 2019'!$C$10:$C$39,0),MATCH($B11,'Data table 2019'!$P$7:$R$7,0)),0,11),"")</f>
        <v/>
      </c>
      <c r="H11" s="16" t="str">
        <f ca="1">IFERROR(OFFSET(INDEX('Data table 2019'!$E$10:$BC$39,MATCH('Comparison with 2019'!$C$4,'Data table 2019'!$C$10:$C$39,0),MATCH($B11,'Data table 2019'!$P$7:$R$7,0)),0,14),"")</f>
        <v/>
      </c>
      <c r="I11" s="13" t="str">
        <f ca="1">IFERROR(OFFSET(INDEX('Data table 2019'!$E$10:$BC$39,MATCH('Comparison with 2019'!$C$4,'Data table 2019'!$C$10:$C$39,0),MATCH($B11,'Data table 2019'!$P$7:$R$7,0)),0,17),"")</f>
        <v/>
      </c>
      <c r="J11" s="13" t="str">
        <f ca="1">IFERROR(OFFSET(INDEX('Data table 2019'!$E$10:$BC$39,MATCH('Comparison with 2019'!$C$4,'Data table 2019'!$C$10:$C$39,0),MATCH($B11,'Data table 2019'!$P$7:$R$7,0)),0,20),"")</f>
        <v/>
      </c>
      <c r="K11" s="29"/>
      <c r="L11" s="29"/>
      <c r="M11" s="7"/>
      <c r="N11" s="7"/>
      <c r="O11" s="29"/>
      <c r="P11" s="29"/>
      <c r="Q11" s="7"/>
      <c r="R11" s="7"/>
    </row>
    <row r="12" spans="2:18" x14ac:dyDescent="0.25">
      <c r="B12" s="39" t="str">
        <f>'Data table'!R7</f>
        <v>3-й</v>
      </c>
      <c r="C12" s="16" t="str">
        <f ca="1">IFERROR(OFFSET(INDEX('Data table'!$E$10:$AY$39,MATCH('Comparison with 2019'!$C$4,'Data table'!$C$10:$C$39,0),MATCH($B12,'Data table'!$P$7:$R$7,0)),0,11),"")</f>
        <v/>
      </c>
      <c r="D12" s="16" t="str">
        <f ca="1">IFERROR(OFFSET(INDEX('Data table'!$E$10:$AY$39,MATCH('Comparison with 2019'!$C$4,'Data table'!$C$10:$C$39,0),MATCH($B12,'Data table'!$P$7:$R$7,0)),0,14),"")</f>
        <v/>
      </c>
      <c r="E12" s="13" t="str">
        <f ca="1">IFERROR(OFFSET(INDEX('Data table'!$E$10:$AY$39,MATCH('Comparison with 2019'!$C$4,'Data table'!$C$10:$C$39,0),MATCH($B12,'Data table'!$P$7:$R$7,0)),0,17),"")</f>
        <v/>
      </c>
      <c r="F12" s="13" t="str">
        <f ca="1">IFERROR(OFFSET(INDEX('Data table'!$E$10:$AY$39,MATCH('Comparison with 2019'!$C$4,'Data table'!$C$10:$C$39,0),MATCH($B12,'Data table'!$P$7:$R$7,0)),0,20),"")</f>
        <v/>
      </c>
      <c r="G12" s="16" t="str">
        <f ca="1">IFERROR(OFFSET(INDEX('Data table 2019'!$E$10:$BC$39,MATCH('Comparison with 2019'!$C$4,'Data table 2019'!$C$10:$C$39,0),MATCH($B12,'Data table 2019'!$P$7:$R$7,0)),0,11),"")</f>
        <v/>
      </c>
      <c r="H12" s="16" t="str">
        <f ca="1">IFERROR(OFFSET(INDEX('Data table 2019'!$E$10:$BC$39,MATCH('Comparison with 2019'!$C$4,'Data table 2019'!$C$10:$C$39,0),MATCH($B12,'Data table 2019'!$P$7:$R$7,0)),0,14),"")</f>
        <v/>
      </c>
      <c r="I12" s="13" t="str">
        <f ca="1">IFERROR(OFFSET(INDEX('Data table 2019'!$E$10:$BC$39,MATCH('Comparison with 2019'!$C$4,'Data table 2019'!$C$10:$C$39,0),MATCH($B12,'Data table 2019'!$P$7:$R$7,0)),0,17),"")</f>
        <v/>
      </c>
      <c r="J12" s="13" t="str">
        <f ca="1">IFERROR(OFFSET(INDEX('Data table 2019'!$E$10:$BC$39,MATCH('Comparison with 2019'!$C$4,'Data table 2019'!$C$10:$C$39,0),MATCH($B12,'Data table 2019'!$P$7:$R$7,0)),0,20),"")</f>
        <v/>
      </c>
      <c r="K12" s="29"/>
      <c r="L12" s="29"/>
      <c r="M12" s="7"/>
      <c r="N12" s="7"/>
      <c r="O12" s="29"/>
      <c r="P12" s="29"/>
      <c r="Q12" s="7"/>
      <c r="R12" s="7"/>
    </row>
    <row r="13" spans="2:18" ht="13.25" customHeight="1" x14ac:dyDescent="0.25">
      <c r="B13" s="47" t="str">
        <f>B9</f>
        <v>Прогнозний рік</v>
      </c>
      <c r="C13" s="147" t="str">
        <f>'Comparison with group'!C13:O13</f>
        <v>За несприятливим макроекономічним сценарієм</v>
      </c>
      <c r="D13" s="148"/>
      <c r="E13" s="148"/>
      <c r="F13" s="148"/>
      <c r="G13" s="148"/>
      <c r="H13" s="148"/>
      <c r="I13" s="148"/>
      <c r="J13" s="149"/>
      <c r="K13" s="29"/>
      <c r="L13" s="29"/>
      <c r="M13" s="7"/>
      <c r="N13" s="7"/>
      <c r="O13" s="29"/>
      <c r="P13" s="29"/>
      <c r="Q13" s="7"/>
      <c r="R13" s="7"/>
    </row>
    <row r="14" spans="2:18" ht="14.4" customHeight="1" x14ac:dyDescent="0.25">
      <c r="B14" s="39" t="str">
        <f>B10</f>
        <v>1-й</v>
      </c>
      <c r="C14" s="25" t="str">
        <f ca="1">IFERROR(OFFSET(INDEX('Data table'!$E$10:$AY$39,MATCH('Comparison with 2019'!$C$4,'Data table'!$C$10:$C$39,0),MATCH($B14,'Data table'!$P$7:$R$7,0)),0,26),"")</f>
        <v/>
      </c>
      <c r="D14" s="25" t="str">
        <f ca="1">IFERROR(OFFSET(INDEX('Data table'!$E$10:$AY$39,MATCH('Comparison with 2019'!$C$4,'Data table'!$C$10:$C$39,0),MATCH($B14,'Data table'!$P$7:$R$7,0)),0,29),"")</f>
        <v/>
      </c>
      <c r="E14" s="13" t="str">
        <f ca="1">IFERROR(OFFSET(INDEX('Data table'!$E$10:$AY$39,MATCH('Comparison with 2019'!$C$4,'Data table'!$C$10:$C$39,0),MATCH($B14,'Data table'!$P$7:$R$7,0)),0,32),"")</f>
        <v/>
      </c>
      <c r="F14" s="13" t="str">
        <f ca="1">IFERROR(OFFSET(INDEX('Data table'!$E$10:$AY$39,MATCH('Comparison with 2019'!$C$4,'Data table'!$C$10:$C$39,0),MATCH($B14,'Data table'!$P$7:$R$7,0)),0,35),"")</f>
        <v/>
      </c>
      <c r="G14" s="25" t="str">
        <f ca="1">IFERROR(OFFSET(INDEX('Data table 2019'!$E$10:$BC$39,MATCH('Comparison with 2019'!$C$4,'Data table 2019'!$C$10:$C$39,0),MATCH($B14,'Data table 2019'!$P$7:$R$7,0)),0,26),"")</f>
        <v/>
      </c>
      <c r="H14" s="25" t="str">
        <f ca="1">IFERROR(OFFSET(INDEX('Data table 2019'!$E$10:$BC$39,MATCH('Comparison with 2019'!$C$4,'Data table 2019'!$C$10:$C$39,0),MATCH($B14,'Data table 2019'!$P$7:$R$7,0)),0,29),"")</f>
        <v/>
      </c>
      <c r="I14" s="13" t="str">
        <f ca="1">IFERROR(OFFSET(INDEX('Data table 2019'!$E$10:$BC$39,MATCH('Comparison with 2019'!$C$4,'Data table 2019'!$C$10:$C$39,0),MATCH($B14,'Data table 2019'!$P$7:$R$7,0)),0,32),"")</f>
        <v/>
      </c>
      <c r="J14" s="13" t="str">
        <f ca="1">IFERROR(OFFSET(INDEX('Data table 2019'!$E$10:$BC$39,MATCH('Comparison with 2019'!$C$4,'Data table 2019'!$C$10:$C$39,0),MATCH($B14,'Data table 2019'!$P$7:$R$7,0)),0,35),"")</f>
        <v/>
      </c>
      <c r="K14" s="29"/>
      <c r="L14" s="29"/>
      <c r="M14" s="7"/>
      <c r="N14" s="7"/>
      <c r="O14" s="29"/>
      <c r="P14" s="29"/>
      <c r="Q14" s="7"/>
      <c r="R14" s="7"/>
    </row>
    <row r="15" spans="2:18" x14ac:dyDescent="0.25">
      <c r="B15" s="39" t="str">
        <f>B11</f>
        <v>2-й</v>
      </c>
      <c r="C15" s="25" t="str">
        <f ca="1">IFERROR(OFFSET(INDEX('Data table'!$E$10:$AY$39,MATCH('Comparison with 2019'!$C$4,'Data table'!$C$10:$C$39,0),MATCH($B15,'Data table'!$P$7:$R$7,0)),0,26),"")</f>
        <v/>
      </c>
      <c r="D15" s="25" t="str">
        <f ca="1">IFERROR(OFFSET(INDEX('Data table'!$E$10:$AY$39,MATCH('Comparison with 2019'!$C$4,'Data table'!$C$10:$C$39,0),MATCH($B15,'Data table'!$P$7:$R$7,0)),0,29),"")</f>
        <v/>
      </c>
      <c r="E15" s="13" t="str">
        <f ca="1">IFERROR(OFFSET(INDEX('Data table'!$E$10:$AY$39,MATCH('Comparison with 2019'!$C$4,'Data table'!$C$10:$C$39,0),MATCH($B15,'Data table'!$P$7:$R$7,0)),0,32),"")</f>
        <v/>
      </c>
      <c r="F15" s="13" t="str">
        <f ca="1">IFERROR(OFFSET(INDEX('Data table'!$E$10:$AY$39,MATCH('Comparison with 2019'!$C$4,'Data table'!$C$10:$C$39,0),MATCH($B15,'Data table'!$P$7:$R$7,0)),0,35),"")</f>
        <v/>
      </c>
      <c r="G15" s="25" t="str">
        <f ca="1">IFERROR(OFFSET(INDEX('Data table 2019'!$E$10:$BC$39,MATCH('Comparison with 2019'!$C$4,'Data table 2019'!$C$10:$C$39,0),MATCH($B15,'Data table 2019'!$P$7:$R$7,0)),0,26),"")</f>
        <v/>
      </c>
      <c r="H15" s="25" t="str">
        <f ca="1">IFERROR(OFFSET(INDEX('Data table 2019'!$E$10:$BC$39,MATCH('Comparison with 2019'!$C$4,'Data table 2019'!$C$10:$C$39,0),MATCH($B15,'Data table 2019'!$P$7:$R$7,0)),0,29),"")</f>
        <v/>
      </c>
      <c r="I15" s="13" t="str">
        <f ca="1">IFERROR(OFFSET(INDEX('Data table 2019'!$E$10:$BC$39,MATCH('Comparison with 2019'!$C$4,'Data table 2019'!$C$10:$C$39,0),MATCH($B15,'Data table 2019'!$P$7:$R$7,0)),0,32),"")</f>
        <v/>
      </c>
      <c r="J15" s="13" t="str">
        <f ca="1">IFERROR(OFFSET(INDEX('Data table 2019'!$E$10:$BC$39,MATCH('Comparison with 2019'!$C$4,'Data table 2019'!$C$10:$C$39,0),MATCH($B15,'Data table 2019'!$P$7:$R$7,0)),0,35),"")</f>
        <v/>
      </c>
      <c r="K15" s="29"/>
      <c r="L15" s="29"/>
      <c r="M15" s="7"/>
      <c r="N15" s="7"/>
      <c r="O15" s="29"/>
      <c r="P15" s="29"/>
      <c r="Q15" s="7"/>
      <c r="R15" s="7"/>
    </row>
    <row r="16" spans="2:18" x14ac:dyDescent="0.25">
      <c r="B16" s="39" t="str">
        <f>B12</f>
        <v>3-й</v>
      </c>
      <c r="C16" s="25" t="str">
        <f ca="1">IFERROR(OFFSET(INDEX('Data table'!$E$10:$AY$39,MATCH('Comparison with 2019'!$C$4,'Data table'!$C$10:$C$39,0),MATCH($B16,'Data table'!$P$7:$R$7,0)),0,26),"")</f>
        <v/>
      </c>
      <c r="D16" s="25" t="str">
        <f ca="1">IFERROR(OFFSET(INDEX('Data table'!$E$10:$AY$39,MATCH('Comparison with 2019'!$C$4,'Data table'!$C$10:$C$39,0),MATCH($B16,'Data table'!$P$7:$R$7,0)),0,29),"")</f>
        <v/>
      </c>
      <c r="E16" s="13" t="str">
        <f ca="1">IFERROR(OFFSET(INDEX('Data table'!$E$10:$AY$39,MATCH('Comparison with 2019'!$C$4,'Data table'!$C$10:$C$39,0),MATCH($B16,'Data table'!$P$7:$R$7,0)),0,32),"")</f>
        <v/>
      </c>
      <c r="F16" s="13" t="str">
        <f ca="1">IFERROR(OFFSET(INDEX('Data table'!$E$10:$AY$39,MATCH('Comparison with 2019'!$C$4,'Data table'!$C$10:$C$39,0),MATCH($B16,'Data table'!$P$7:$R$7,0)),0,35),"")</f>
        <v/>
      </c>
      <c r="G16" s="25" t="str">
        <f ca="1">IFERROR(OFFSET(INDEX('Data table 2019'!$E$10:$BC$39,MATCH('Comparison with 2019'!$C$4,'Data table 2019'!$C$10:$C$39,0),MATCH($B16,'Data table 2019'!$P$7:$R$7,0)),0,26),"")</f>
        <v/>
      </c>
      <c r="H16" s="25" t="str">
        <f ca="1">IFERROR(OFFSET(INDEX('Data table 2019'!$E$10:$BC$39,MATCH('Comparison with 2019'!$C$4,'Data table 2019'!$C$10:$C$39,0),MATCH($B16,'Data table 2019'!$P$7:$R$7,0)),0,29),"")</f>
        <v/>
      </c>
      <c r="I16" s="13" t="str">
        <f ca="1">IFERROR(OFFSET(INDEX('Data table 2019'!$E$10:$BC$39,MATCH('Comparison with 2019'!$C$4,'Data table 2019'!$C$10:$C$39,0),MATCH($B16,'Data table 2019'!$P$7:$R$7,0)),0,32),"")</f>
        <v/>
      </c>
      <c r="J16" s="13" t="str">
        <f ca="1">IFERROR(OFFSET(INDEX('Data table 2019'!$E$10:$BC$39,MATCH('Comparison with 2019'!$C$4,'Data table 2019'!$C$10:$C$39,0),MATCH($B16,'Data table 2019'!$P$7:$R$7,0)),0,35),"")</f>
        <v/>
      </c>
      <c r="K16" s="29"/>
      <c r="L16" s="29"/>
      <c r="M16" s="7"/>
      <c r="N16" s="7"/>
      <c r="O16" s="29"/>
      <c r="P16" s="29"/>
      <c r="Q16" s="7"/>
      <c r="R16" s="7"/>
    </row>
    <row r="17" spans="2:18" ht="12" customHeight="1" x14ac:dyDescent="0.25">
      <c r="B17" s="57" t="str">
        <f>'Individual banks'!$B$13</f>
        <v>AQR -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v>
      </c>
      <c r="C17" s="46"/>
      <c r="D17" s="46"/>
      <c r="E17" s="7"/>
      <c r="F17" s="7"/>
      <c r="G17" s="29"/>
      <c r="H17" s="29"/>
      <c r="I17" s="7"/>
      <c r="J17" s="7"/>
      <c r="K17" s="29"/>
      <c r="L17" s="29"/>
      <c r="M17" s="7"/>
      <c r="N17" s="7"/>
      <c r="O17" s="29"/>
      <c r="P17" s="29"/>
      <c r="Q17" s="7"/>
      <c r="R17" s="7"/>
    </row>
    <row r="18" spans="2:18" ht="11.4" customHeight="1" x14ac:dyDescent="0.25">
      <c r="B18" s="57" t="str">
        <f>IF($K$1="ENG","","ОК - основний капітал, РК - регулятивний капітал, Н2 - норматив адекватності регулятивного капіталу, Н3 - норматив адекватності основного капіталу.")</f>
        <v>ОК - основний капітал, РК - регулятивний капітал, Н2 - норматив адекватності регулятивного капіталу, Н3 - норматив адекватності основного капіталу.</v>
      </c>
      <c r="C18" s="46"/>
      <c r="D18" s="46"/>
      <c r="E18" s="7"/>
      <c r="J18" s="7"/>
      <c r="K18" s="29"/>
      <c r="L18" s="29"/>
      <c r="M18" s="7"/>
      <c r="N18" s="7"/>
      <c r="O18" s="29"/>
      <c r="P18" s="29"/>
      <c r="Q18" s="7"/>
      <c r="R18" s="7"/>
    </row>
    <row r="19" spans="2:18" ht="23.4" customHeight="1" x14ac:dyDescent="0.25">
      <c r="B19" s="151" t="str">
        <f>IFERROR(IF(OR(COUNTIF($C$4:$R$4,"Альфа-Банк**")&gt;0,COUNTIF($C$4:$R$4,"Укрсоцбанк**")&gt;0,COUNTIF($C$4:$R$4,"Alfa-Bank**")&gt;0,COUNTIF($C$4:$R$4,"Ukrsotsbank**")&gt;0),'Data table'!$A$45,""),"")</f>
        <v/>
      </c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</row>
    <row r="20" spans="2:18" ht="13.25" customHeight="1" x14ac:dyDescent="0.25">
      <c r="B20" s="146" t="str">
        <f>IF($K$1="ENG","Core capital, UAH mln","Основний капітал, млн грн")</f>
        <v>Основний капітал, млн грн</v>
      </c>
      <c r="C20" s="146"/>
      <c r="D20" s="146"/>
      <c r="E20" s="146" t="str">
        <f>IF($K$1="ENG","Core capital ratio","Норматив достатності основного капіталу Н3")</f>
        <v>Норматив достатності основного капіталу Н3</v>
      </c>
      <c r="F20" s="146"/>
      <c r="G20" s="146"/>
      <c r="H20" s="146" t="str">
        <f>IF($K$1="ENG","Regulatory capital, UAH mln","Регулятивний капітал, млн грн")</f>
        <v>Регулятивний капітал, млн грн</v>
      </c>
      <c r="I20" s="146"/>
      <c r="J20" s="146"/>
      <c r="K20" s="146"/>
      <c r="L20" s="146" t="str">
        <f>IF($K$1="ENG","CAR","Норматив достатності регулятивного капіталу Н2")</f>
        <v>Норматив достатності регулятивного капіталу Н2</v>
      </c>
      <c r="M20" s="146"/>
      <c r="N20" s="146"/>
      <c r="O20" s="146"/>
    </row>
    <row r="21" spans="2:18" x14ac:dyDescent="0.25"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</row>
    <row r="31" spans="2:18" x14ac:dyDescent="0.25">
      <c r="B31" s="64"/>
    </row>
    <row r="32" spans="2:18" x14ac:dyDescent="0.25">
      <c r="B32" s="64"/>
    </row>
    <row r="33" spans="2:2" x14ac:dyDescent="0.25">
      <c r="B33" s="64"/>
    </row>
    <row r="34" spans="2:2" x14ac:dyDescent="0.25">
      <c r="B34" s="64" t="str">
        <f>CONCATENATE(C9," (",C5,")")</f>
        <v>За базовим макроекономічним сценарієм (стрес-тестування 2021 року)</v>
      </c>
    </row>
    <row r="35" spans="2:2" x14ac:dyDescent="0.25">
      <c r="B35" s="64" t="str">
        <f>CONCATENATE(C13," (",C5,")")</f>
        <v>За несприятливим макроекономічним сценарієм (стрес-тестування 2021 року)</v>
      </c>
    </row>
    <row r="36" spans="2:2" x14ac:dyDescent="0.25">
      <c r="B36" s="64" t="str">
        <f>CONCATENATE(C9," (",G5,")")</f>
        <v>За базовим макроекономічним сценарієм (стрес-тестування 2019 року)</v>
      </c>
    </row>
    <row r="37" spans="2:2" x14ac:dyDescent="0.25">
      <c r="B37" s="64" t="str">
        <f>CONCATENATE(C13," (",G5,")")</f>
        <v>За несприятливим макроекономічним сценарієм (стрес-тестування 2019 року)</v>
      </c>
    </row>
    <row r="38" spans="2:2" x14ac:dyDescent="0.25">
      <c r="B38" s="64"/>
    </row>
    <row r="39" spans="2:2" x14ac:dyDescent="0.25">
      <c r="B39" s="64"/>
    </row>
  </sheetData>
  <mergeCells count="11">
    <mergeCell ref="G5:J5"/>
    <mergeCell ref="C4:I4"/>
    <mergeCell ref="B20:D21"/>
    <mergeCell ref="E20:G21"/>
    <mergeCell ref="C9:J9"/>
    <mergeCell ref="C13:J13"/>
    <mergeCell ref="B4:B6"/>
    <mergeCell ref="B19:R19"/>
    <mergeCell ref="H20:K21"/>
    <mergeCell ref="L20:O21"/>
    <mergeCell ref="C5:F5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Drop Down 1">
              <controlPr defaultSize="0" autoLine="0" autoPict="0">
                <anchor moveWithCells="1">
                  <from>
                    <xdr:col>6</xdr:col>
                    <xdr:colOff>50800</xdr:colOff>
                    <xdr:row>0</xdr:row>
                    <xdr:rowOff>152400</xdr:rowOff>
                  </from>
                  <to>
                    <xdr:col>9</xdr:col>
                    <xdr:colOff>158750</xdr:colOff>
                    <xdr:row>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5" name="Drop Down 5">
              <controlPr defaultSize="0" autoLine="0" autoPict="0">
                <anchor moveWithCells="1">
                  <from>
                    <xdr:col>9</xdr:col>
                    <xdr:colOff>488950</xdr:colOff>
                    <xdr:row>0</xdr:row>
                    <xdr:rowOff>6350</xdr:rowOff>
                  </from>
                  <to>
                    <xdr:col>11</xdr:col>
                    <xdr:colOff>44450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Аркуш4"/>
  <dimension ref="B1:S20"/>
  <sheetViews>
    <sheetView zoomScale="80" zoomScaleNormal="80" workbookViewId="0">
      <selection activeCell="I5" sqref="I5"/>
    </sheetView>
  </sheetViews>
  <sheetFormatPr defaultColWidth="8.90625" defaultRowHeight="12.5" x14ac:dyDescent="0.25"/>
  <cols>
    <col min="1" max="1" width="4" style="1" customWidth="1"/>
    <col min="2" max="2" width="25.453125" style="1" customWidth="1"/>
    <col min="3" max="3" width="12" style="1" customWidth="1"/>
    <col min="4" max="4" width="12.90625" style="1" customWidth="1"/>
    <col min="5" max="6" width="10.36328125" style="1" customWidth="1"/>
    <col min="7" max="7" width="12" style="1" customWidth="1"/>
    <col min="8" max="8" width="13.453125" style="1" customWidth="1"/>
    <col min="9" max="10" width="10.36328125" style="1" customWidth="1"/>
    <col min="11" max="11" width="12.08984375" style="1" customWidth="1"/>
    <col min="12" max="12" width="11.90625" style="1" customWidth="1"/>
    <col min="13" max="14" width="10.36328125" style="1" customWidth="1"/>
    <col min="15" max="18" width="11.6328125" style="1" customWidth="1"/>
    <col min="19" max="19" width="8.90625" style="1" customWidth="1"/>
    <col min="20" max="16384" width="8.90625" style="1"/>
  </cols>
  <sheetData>
    <row r="1" spans="2:19" ht="13" x14ac:dyDescent="0.3">
      <c r="R1" s="56" t="str">
        <f>'Individual banks'!K1</f>
        <v>UA</v>
      </c>
      <c r="S1" s="62" t="str">
        <f>IF($R$1="ENG","Змінити мову тут","Change language here")</f>
        <v>Change language here</v>
      </c>
    </row>
    <row r="2" spans="2:19" ht="13" x14ac:dyDescent="0.3">
      <c r="B2" s="5" t="str">
        <f>IF($R$1="ENG","Stress test results (comparison across banks)","Результати стрес-тестування банку (порівняння банків)")</f>
        <v>Результати стрес-тестування банку (порівняння банків)</v>
      </c>
    </row>
    <row r="3" spans="2:19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 t="s">
        <v>0</v>
      </c>
    </row>
    <row r="4" spans="2:19" ht="23.4" customHeight="1" x14ac:dyDescent="0.25">
      <c r="B4" s="143" t="str">
        <f>IF($R$1="ENG","Indicator","Показник")</f>
        <v>Показник</v>
      </c>
      <c r="C4" s="75">
        <v>31</v>
      </c>
      <c r="D4" s="76" t="str">
        <f>IFERROR(INDEX('Data table'!$C$10:$C$39,C4,1),"")</f>
        <v/>
      </c>
      <c r="E4" s="76"/>
      <c r="F4" s="76"/>
      <c r="G4" s="75">
        <v>31</v>
      </c>
      <c r="H4" s="76" t="str">
        <f>IFERROR(INDEX('Data table'!$C$10:$C$39,G4,1),"")</f>
        <v/>
      </c>
      <c r="I4" s="76"/>
      <c r="J4" s="76"/>
      <c r="K4" s="75">
        <v>31</v>
      </c>
      <c r="L4" s="76" t="str">
        <f>IFERROR(INDEX('Data table'!$C$10:$C$39,K4,1),"")</f>
        <v/>
      </c>
      <c r="M4" s="76"/>
      <c r="N4" s="76"/>
      <c r="O4" s="75">
        <v>31</v>
      </c>
      <c r="P4" s="76" t="str">
        <f>IFERROR(INDEX('Data table'!$C$10:$C$39,O4,1),"")</f>
        <v/>
      </c>
      <c r="Q4" s="76"/>
      <c r="R4" s="76"/>
    </row>
    <row r="5" spans="2:19" ht="36.65" customHeight="1" x14ac:dyDescent="0.25">
      <c r="B5" s="150"/>
      <c r="C5" s="74" t="str">
        <f>'Data table'!E6</f>
        <v>ОК, млн грн</v>
      </c>
      <c r="D5" s="74" t="str">
        <f>'Data table'!F6</f>
        <v>РК, млн грн</v>
      </c>
      <c r="E5" s="74" t="str">
        <f>'Data table'!G6</f>
        <v>Н2</v>
      </c>
      <c r="F5" s="74" t="str">
        <f>'Data table'!H6</f>
        <v>Н3</v>
      </c>
      <c r="G5" s="74" t="str">
        <f t="shared" ref="G5:R5" si="0">C5</f>
        <v>ОК, млн грн</v>
      </c>
      <c r="H5" s="74" t="str">
        <f t="shared" si="0"/>
        <v>РК, млн грн</v>
      </c>
      <c r="I5" s="74" t="str">
        <f t="shared" si="0"/>
        <v>Н2</v>
      </c>
      <c r="J5" s="74" t="str">
        <f t="shared" si="0"/>
        <v>Н3</v>
      </c>
      <c r="K5" s="74" t="str">
        <f t="shared" si="0"/>
        <v>ОК, млн грн</v>
      </c>
      <c r="L5" s="74" t="str">
        <f t="shared" si="0"/>
        <v>РК, млн грн</v>
      </c>
      <c r="M5" s="74" t="str">
        <f t="shared" si="0"/>
        <v>Н2</v>
      </c>
      <c r="N5" s="74" t="str">
        <f t="shared" si="0"/>
        <v>Н3</v>
      </c>
      <c r="O5" s="74" t="str">
        <f t="shared" si="0"/>
        <v>ОК, млн грн</v>
      </c>
      <c r="P5" s="74" t="str">
        <f t="shared" si="0"/>
        <v>РК, млн грн</v>
      </c>
      <c r="Q5" s="74" t="str">
        <f t="shared" si="0"/>
        <v>Н2</v>
      </c>
      <c r="R5" s="74" t="str">
        <f t="shared" si="0"/>
        <v>Н3</v>
      </c>
    </row>
    <row r="6" spans="2:19" x14ac:dyDescent="0.25">
      <c r="B6" s="23" t="str">
        <f>'Individual banks'!C4</f>
        <v>Дані банку на 01.01.21</v>
      </c>
      <c r="C6" s="28" t="str">
        <f>IFERROR(INDEX('Data table'!$E$10:$AY$39,MATCH('Comparison of banks'!$D$4,'Data table'!$C$10:$C$39,0),MATCH('Comparison of banks'!C$5,'Data table'!$E$6:$I$6,0)),"")</f>
        <v/>
      </c>
      <c r="D6" s="28" t="str">
        <f>IFERROR(INDEX('Data table'!$E$10:$AY$39,MATCH('Comparison of banks'!$D$4,'Data table'!$C$10:$C$39,0),MATCH('Comparison of banks'!D$5,'Data table'!$E$6:$I$6,0)),"")</f>
        <v/>
      </c>
      <c r="E6" s="18" t="str">
        <f>IFERROR(INDEX('Data table'!$E$10:$AY$39,MATCH('Comparison of banks'!$D$4,'Data table'!$C$10:$C$39,0),MATCH('Comparison of banks'!E$5,'Data table'!$E$6:$I$6,0)),"")</f>
        <v/>
      </c>
      <c r="F6" s="18" t="str">
        <f>IFERROR(INDEX('Data table'!$E$10:$AY$39,MATCH('Comparison of banks'!$D$4,'Data table'!$C$10:$C$39,0),MATCH('Comparison of banks'!F$5,'Data table'!$E$6:$I$6,0)),"")</f>
        <v/>
      </c>
      <c r="G6" s="22" t="str">
        <f>IFERROR(INDEX('Data table'!$E$10:$AY$39,MATCH('Comparison of banks'!$H$4,'Data table'!$C$10:$C$39,0),MATCH('Comparison of banks'!G$5,'Data table'!$E$6:$I$6,0)),"")</f>
        <v/>
      </c>
      <c r="H6" s="22" t="str">
        <f>IFERROR(INDEX('Data table'!$E$10:$AY$39,MATCH('Comparison of banks'!$H$4,'Data table'!$C$10:$C$39,0),MATCH('Comparison of banks'!H$5,'Data table'!$E$6:$I$6,0)),"")</f>
        <v/>
      </c>
      <c r="I6" s="14" t="str">
        <f>IFERROR(INDEX('Data table'!$E$10:$AY$39,MATCH('Comparison of banks'!$H$4,'Data table'!$C$10:$C$39,0),MATCH('Comparison of banks'!I$5,'Data table'!$E$6:$I$6,0)),"")</f>
        <v/>
      </c>
      <c r="J6" s="14" t="str">
        <f>IFERROR(INDEX('Data table'!$E$10:$AY$39,MATCH('Comparison of banks'!$H$4,'Data table'!$C$10:$C$39,0),MATCH('Comparison of banks'!J$5,'Data table'!$E$6:$I$6,0)),"")</f>
        <v/>
      </c>
      <c r="K6" s="22" t="str">
        <f>IFERROR(INDEX('Data table'!$E$10:$AY$39,MATCH('Comparison of banks'!L$4,'Data table'!$C$10:$C$39,0),MATCH('Comparison of banks'!K$5,'Data table'!$E$6:$I$6,0)),"")</f>
        <v/>
      </c>
      <c r="L6" s="22" t="str">
        <f>IFERROR(INDEX('Data table'!$E$10:$AY$39,MATCH('Comparison of banks'!L$4,'Data table'!$C$10:$C$39,0),MATCH('Comparison of banks'!L$5,'Data table'!$E$6:$I$6,0)),"")</f>
        <v/>
      </c>
      <c r="M6" s="14" t="str">
        <f>IFERROR(INDEX('Data table'!$E$10:$AY$39,MATCH('Comparison of banks'!L$4,'Data table'!$C$10:$C$39,0),MATCH('Comparison of banks'!M$5,'Data table'!$E$6:$I$6,0)),"")</f>
        <v/>
      </c>
      <c r="N6" s="14" t="str">
        <f>IFERROR(INDEX('Data table'!$E$10:$AY$39,MATCH('Comparison of banks'!L$4,'Data table'!$C$10:$C$39,0),MATCH('Comparison of banks'!N$5,'Data table'!$E$6:$I$6,0)),"")</f>
        <v/>
      </c>
      <c r="O6" s="22" t="str">
        <f>IFERROR(INDEX('Data table'!$E$10:$AY$39,MATCH('Comparison of banks'!P$4,'Data table'!$C$10:$C$39,0),MATCH('Comparison of banks'!O$5,'Data table'!$E$6:$I$6,0)),"")</f>
        <v/>
      </c>
      <c r="P6" s="22" t="str">
        <f>IFERROR(INDEX('Data table'!$E$10:$AY$39,MATCH('Comparison of banks'!P$4,'Data table'!$C$10:$C$39,0),MATCH('Comparison of banks'!P$5,'Data table'!$E$6:$I$6,0)),"")</f>
        <v/>
      </c>
      <c r="Q6" s="14" t="str">
        <f>IFERROR(INDEX('Data table'!$E$10:$AY$39,MATCH('Comparison of banks'!P$4,'Data table'!$C$10:$C$39,0),MATCH('Comparison of banks'!Q$5,'Data table'!$E$6:$I$6,0)),"")</f>
        <v/>
      </c>
      <c r="R6" s="14" t="str">
        <f>IFERROR(INDEX('Data table'!$E$10:$AY$39,MATCH('Comparison of banks'!P$4,'Data table'!$C$10:$C$39,0),MATCH('Comparison of banks'!R$5,'Data table'!$E$6:$I$6,0)),"")</f>
        <v/>
      </c>
    </row>
    <row r="7" spans="2:19" x14ac:dyDescent="0.25">
      <c r="B7" s="20" t="str">
        <f>'Individual banks'!D4</f>
        <v>AQR на 01.01.21</v>
      </c>
      <c r="C7" s="16" t="str">
        <f ca="1">IFERROR(OFFSET(INDEX('Data table'!$E$10:$AY$39,MATCH('Comparison of banks'!$D$4,'Data table'!$C$10:$C$39,0),MATCH('Comparison of banks'!C$5,'Data table'!$J$6:$O$6,0)),0,5),"")</f>
        <v/>
      </c>
      <c r="D7" s="16" t="str">
        <f ca="1">IFERROR(OFFSET(INDEX('Data table'!$E$10:$AY$39,MATCH('Comparison of banks'!$D$4,'Data table'!$C$10:$C$39,0),MATCH('Comparison of banks'!D$5,'Data table'!$J$6:$O$6,0)),0,5),"")</f>
        <v/>
      </c>
      <c r="E7" s="13" t="str">
        <f ca="1">IFERROR(OFFSET(INDEX('Data table'!$E$10:$AY$39,MATCH('Comparison of banks'!$D$4,'Data table'!$C$10:$C$39,0),MATCH('Comparison of banks'!E$5,'Data table'!$J$6:$O$6,0)),0,5),"")</f>
        <v/>
      </c>
      <c r="F7" s="13" t="str">
        <f ca="1">IFERROR(OFFSET(INDEX('Data table'!$E$10:$AY$39,MATCH('Comparison of banks'!$D$4,'Data table'!$C$10:$C$39,0),MATCH('Comparison of banks'!F$5,'Data table'!$J$6:$O$6,0)),0,5),"")</f>
        <v/>
      </c>
      <c r="G7" s="16" t="str">
        <f ca="1">IFERROR(OFFSET(INDEX('Data table'!$E$10:$AY$39,MATCH('Comparison of banks'!$H$4,'Data table'!$C$10:$C$39,0),MATCH('Comparison of banks'!G$5,'Data table'!$J$6:$O$6,0)),0,5),"")</f>
        <v/>
      </c>
      <c r="H7" s="16" t="str">
        <f ca="1">IFERROR(OFFSET(INDEX('Data table'!$E$10:$AY$39,MATCH('Comparison of banks'!$H$4,'Data table'!$C$10:$C$39,0),MATCH('Comparison of banks'!H$5,'Data table'!$J$6:$O$6,0)),0,5),"")</f>
        <v/>
      </c>
      <c r="I7" s="13" t="str">
        <f ca="1">IFERROR(OFFSET(INDEX('Data table'!$E$10:$AY$39,MATCH('Comparison of banks'!$H$4,'Data table'!$C$10:$C$39,0),MATCH('Comparison of banks'!I$5,'Data table'!$J$6:$O$6,0)),0,5),"")</f>
        <v/>
      </c>
      <c r="J7" s="13" t="str">
        <f ca="1">IFERROR(OFFSET(INDEX('Data table'!$E$10:$AY$39,MATCH('Comparison of banks'!$H$4,'Data table'!$C$10:$C$39,0),MATCH('Comparison of banks'!J$5,'Data table'!$J$6:$O$6,0)),0,5),"")</f>
        <v/>
      </c>
      <c r="K7" s="16" t="str">
        <f ca="1">IFERROR(OFFSET(INDEX('Data table'!$E$10:$AY$39,MATCH('Comparison of banks'!L$4,'Data table'!$C$10:$C$39,0),MATCH('Comparison of banks'!K$5,'Data table'!$J$6:$O$6,0)),0,5),"")</f>
        <v/>
      </c>
      <c r="L7" s="16" t="str">
        <f ca="1">IFERROR(OFFSET(INDEX('Data table'!$E$10:$AY$39,MATCH('Comparison of banks'!L$4,'Data table'!$C$10:$C$39,0),MATCH('Comparison of banks'!L$5,'Data table'!$J$6:$O$6,0)),0,5),"")</f>
        <v/>
      </c>
      <c r="M7" s="13" t="str">
        <f ca="1">IFERROR(OFFSET(INDEX('Data table'!$E$10:$AY$39,MATCH('Comparison of banks'!L$4,'Data table'!$C$10:$C$39,0),MATCH('Comparison of banks'!M$5,'Data table'!$J$6:$O$6,0)),0,5),"")</f>
        <v/>
      </c>
      <c r="N7" s="13" t="str">
        <f ca="1">IFERROR(OFFSET(INDEX('Data table'!$E$10:$AY$39,MATCH('Comparison of banks'!L$4,'Data table'!$C$10:$C$39,0),MATCH('Comparison of banks'!N$5,'Data table'!$J$6:$O$6,0)),0,5),"")</f>
        <v/>
      </c>
      <c r="O7" s="16" t="str">
        <f ca="1">IFERROR(OFFSET(INDEX('Data table'!$E$10:$AY$39,MATCH('Comparison of banks'!P$4,'Data table'!$C$10:$C$39,0),MATCH('Comparison of banks'!O$5,'Data table'!$J$6:$O$6,0)),0,5),"")</f>
        <v/>
      </c>
      <c r="P7" s="16" t="str">
        <f ca="1">IFERROR(OFFSET(INDEX('Data table'!$E$10:$AY$39,MATCH('Comparison of banks'!P$4,'Data table'!$C$10:$C$39,0),MATCH('Comparison of banks'!P$5,'Data table'!$J$6:$O$6,0)),0,5),"")</f>
        <v/>
      </c>
      <c r="Q7" s="13" t="str">
        <f ca="1">IFERROR(OFFSET(INDEX('Data table'!$E$10:$AY$39,MATCH('Comparison of banks'!P$4,'Data table'!$C$10:$C$39,0),MATCH('Comparison of banks'!Q$5,'Data table'!$J$6:$O$6,0)),0,5),"")</f>
        <v/>
      </c>
      <c r="R7" s="13" t="str">
        <f ca="1">IFERROR(OFFSET(INDEX('Data table'!$E$10:$AY$39,MATCH('Comparison of banks'!P$4,'Data table'!$C$10:$C$39,0),MATCH('Comparison of banks'!R$5,'Data table'!$J$6:$O$6,0)),0,5),"")</f>
        <v/>
      </c>
    </row>
    <row r="8" spans="2:19" ht="13.25" customHeight="1" x14ac:dyDescent="0.25">
      <c r="B8" s="47" t="str">
        <f>'Comparison with group'!B9</f>
        <v>Прогнозний рік</v>
      </c>
      <c r="C8" s="147" t="str">
        <f>'Comparison with group'!C9:O9</f>
        <v>За базовим макроекономічним сценарієм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9"/>
    </row>
    <row r="9" spans="2:19" x14ac:dyDescent="0.25">
      <c r="B9" s="39" t="str">
        <f>'Data table'!P7</f>
        <v>1-й</v>
      </c>
      <c r="C9" s="16" t="str">
        <f ca="1">IFERROR(OFFSET(INDEX('Data table'!$E$10:$AY$39,MATCH('Comparison of banks'!$D$4,'Data table'!$C$10:$C$39,0),MATCH($B9,'Data table'!$P$7:$R$7,0)),0,11),"")</f>
        <v/>
      </c>
      <c r="D9" s="16" t="str">
        <f ca="1">IFERROR(OFFSET(INDEX('Data table'!$E$10:$AY$39,MATCH('Comparison of banks'!$D$4,'Data table'!$C$10:$C$39,0),MATCH($B9,'Data table'!$P$7:$R$7,0)),0,14),"")</f>
        <v/>
      </c>
      <c r="E9" s="13" t="str">
        <f ca="1">IFERROR(OFFSET(INDEX('Data table'!$E$10:$AY$39,MATCH('Comparison of banks'!$D$4,'Data table'!$C$10:$C$39,0),MATCH($B9,'Data table'!$P$7:$R$7,0)),0,17),"")</f>
        <v/>
      </c>
      <c r="F9" s="13" t="str">
        <f ca="1">IFERROR(OFFSET(INDEX('Data table'!$E$10:$AY$39,MATCH('Comparison of banks'!$D$4,'Data table'!$C$10:$C$39,0),MATCH($B9,'Data table'!$P$7:$R$7,0)),0,20),"")</f>
        <v/>
      </c>
      <c r="G9" s="16" t="str">
        <f ca="1">IFERROR(OFFSET(INDEX('Data table'!$E$10:$AY$39,MATCH('Comparison of banks'!$H$4,'Data table'!$C$10:$C$39,0),MATCH($B9,'Data table'!$P$7:$R$7,0)),0,11),"")</f>
        <v/>
      </c>
      <c r="H9" s="16" t="str">
        <f ca="1">IFERROR(OFFSET(INDEX('Data table'!$E$10:$AY$39,MATCH('Comparison of banks'!$H$4,'Data table'!$C$10:$C$39,0),MATCH($B9,'Data table'!$P$7:$R$7,0)),0,14),"")</f>
        <v/>
      </c>
      <c r="I9" s="13" t="str">
        <f ca="1">IFERROR(OFFSET(INDEX('Data table'!$E$10:$AY$39,MATCH('Comparison of banks'!$H$4,'Data table'!$C$10:$C$39,0),MATCH($B9,'Data table'!$P$7:$R$7,0)),0,17),"")</f>
        <v/>
      </c>
      <c r="J9" s="13" t="str">
        <f ca="1">IFERROR(OFFSET(INDEX('Data table'!$E$10:$AY$39,MATCH('Comparison of banks'!$H$4,'Data table'!$C$10:$C$39,0),MATCH($B9,'Data table'!$P$7:$R$7,0)),0,20),"")</f>
        <v/>
      </c>
      <c r="K9" s="16" t="str">
        <f ca="1">IFERROR(OFFSET(INDEX('Data table'!$E$10:$AY$39,MATCH('Comparison of banks'!L$4,'Data table'!$C$10:$C$39,0),MATCH($B9,'Data table'!$P$7:$R$7,0)),0,11),"")</f>
        <v/>
      </c>
      <c r="L9" s="16" t="str">
        <f ca="1">IFERROR(OFFSET(INDEX('Data table'!$E$10:$AY$39,MATCH('Comparison of banks'!L$4,'Data table'!$C$10:$C$39,0),MATCH($B9,'Data table'!$P$7:$R$7,0)),0,14),"")</f>
        <v/>
      </c>
      <c r="M9" s="13" t="str">
        <f ca="1">IFERROR(OFFSET(INDEX('Data table'!$E$10:$AY$39,MATCH('Comparison of banks'!L$4,'Data table'!$C$10:$C$39,0),MATCH($B9,'Data table'!$P$7:$R$7,0)),0,17),"")</f>
        <v/>
      </c>
      <c r="N9" s="13" t="str">
        <f ca="1">IFERROR(OFFSET(INDEX('Data table'!$E$10:$AY$39,MATCH('Comparison of banks'!L$4,'Data table'!$C$10:$C$39,0),MATCH($B9,'Data table'!$P$7:$R$7,0)),0,20),"")</f>
        <v/>
      </c>
      <c r="O9" s="16" t="str">
        <f ca="1">IFERROR(OFFSET(INDEX('Data table'!$E$10:$AY$39,MATCH('Comparison of banks'!P$4,'Data table'!$C$10:$C$39,0),MATCH($B9,'Data table'!$P$7:$R$7,0)),0,11),"")</f>
        <v/>
      </c>
      <c r="P9" s="16" t="str">
        <f ca="1">IFERROR(OFFSET(INDEX('Data table'!$E$10:$AY$39,MATCH('Comparison of banks'!P$4,'Data table'!$C$10:$C$39,0),MATCH($B9,'Data table'!$P$7:$R$7,0)),0,14),"")</f>
        <v/>
      </c>
      <c r="Q9" s="13" t="str">
        <f ca="1">IFERROR(OFFSET(INDEX('Data table'!$E$10:$AY$39,MATCH('Comparison of banks'!P$4,'Data table'!$C$10:$C$39,0),MATCH($B9,'Data table'!$P$7:$R$7,0)),0,17),"")</f>
        <v/>
      </c>
      <c r="R9" s="13" t="str">
        <f ca="1">IFERROR(OFFSET(INDEX('Data table'!$E$10:$AY$39,MATCH('Comparison of banks'!P$4,'Data table'!$C$10:$C$39,0),MATCH($B9,'Data table'!$P$7:$R$7,0)),0,20),"")</f>
        <v/>
      </c>
    </row>
    <row r="10" spans="2:19" x14ac:dyDescent="0.25">
      <c r="B10" s="39" t="str">
        <f>'Data table'!Q7</f>
        <v>2-й</v>
      </c>
      <c r="C10" s="16" t="str">
        <f ca="1">IFERROR(OFFSET(INDEX('Data table'!$E$10:$AY$39,MATCH('Comparison of banks'!$D$4,'Data table'!$C$10:$C$39,0),MATCH($B10,'Data table'!$P$7:$R$7,0)),0,11),"")</f>
        <v/>
      </c>
      <c r="D10" s="16" t="str">
        <f ca="1">IFERROR(OFFSET(INDEX('Data table'!$E$10:$AY$39,MATCH('Comparison of banks'!$D$4,'Data table'!$C$10:$C$39,0),MATCH($B10,'Data table'!$P$7:$R$7,0)),0,14),"")</f>
        <v/>
      </c>
      <c r="E10" s="13" t="str">
        <f ca="1">IFERROR(OFFSET(INDEX('Data table'!$E$10:$AY$39,MATCH('Comparison of banks'!$D$4,'Data table'!$C$10:$C$39,0),MATCH($B10,'Data table'!$P$7:$R$7,0)),0,17),"")</f>
        <v/>
      </c>
      <c r="F10" s="13" t="str">
        <f ca="1">IFERROR(OFFSET(INDEX('Data table'!$E$10:$AY$39,MATCH('Comparison of banks'!$D$4,'Data table'!$C$10:$C$39,0),MATCH($B10,'Data table'!$P$7:$R$7,0)),0,20),"")</f>
        <v/>
      </c>
      <c r="G10" s="16" t="str">
        <f ca="1">IFERROR(OFFSET(INDEX('Data table'!$E$10:$AY$39,MATCH('Comparison of banks'!$H$4,'Data table'!$C$10:$C$39,0),MATCH($B10,'Data table'!$P$7:$R$7,0)),0,11),"")</f>
        <v/>
      </c>
      <c r="H10" s="16" t="str">
        <f ca="1">IFERROR(OFFSET(INDEX('Data table'!$E$10:$AY$39,MATCH('Comparison of banks'!$H$4,'Data table'!$C$10:$C$39,0),MATCH($B10,'Data table'!$P$7:$R$7,0)),0,14),"")</f>
        <v/>
      </c>
      <c r="I10" s="13" t="str">
        <f ca="1">IFERROR(OFFSET(INDEX('Data table'!$E$10:$AY$39,MATCH('Comparison of banks'!$H$4,'Data table'!$C$10:$C$39,0),MATCH($B10,'Data table'!$P$7:$R$7,0)),0,17),"")</f>
        <v/>
      </c>
      <c r="J10" s="13" t="str">
        <f ca="1">IFERROR(OFFSET(INDEX('Data table'!$E$10:$AY$39,MATCH('Comparison of banks'!$H$4,'Data table'!$C$10:$C$39,0),MATCH($B10,'Data table'!$P$7:$R$7,0)),0,20),"")</f>
        <v/>
      </c>
      <c r="K10" s="16" t="str">
        <f ca="1">IFERROR(OFFSET(INDEX('Data table'!$E$10:$AY$39,MATCH('Comparison of banks'!L$4,'Data table'!$C$10:$C$39,0),MATCH($B10,'Data table'!$P$7:$R$7,0)),0,11),"")</f>
        <v/>
      </c>
      <c r="L10" s="16" t="str">
        <f ca="1">IFERROR(OFFSET(INDEX('Data table'!$E$10:$AY$39,MATCH('Comparison of banks'!L$4,'Data table'!$C$10:$C$39,0),MATCH($B10,'Data table'!$P$7:$R$7,0)),0,14),"")</f>
        <v/>
      </c>
      <c r="M10" s="13" t="str">
        <f ca="1">IFERROR(OFFSET(INDEX('Data table'!$E$10:$AY$39,MATCH('Comparison of banks'!L$4,'Data table'!$C$10:$C$39,0),MATCH($B10,'Data table'!$P$7:$R$7,0)),0,17),"")</f>
        <v/>
      </c>
      <c r="N10" s="13" t="str">
        <f ca="1">IFERROR(OFFSET(INDEX('Data table'!$E$10:$AY$39,MATCH('Comparison of banks'!L$4,'Data table'!$C$10:$C$39,0),MATCH($B10,'Data table'!$P$7:$R$7,0)),0,20),"")</f>
        <v/>
      </c>
      <c r="O10" s="16" t="str">
        <f ca="1">IFERROR(OFFSET(INDEX('Data table'!$E$10:$AY$39,MATCH('Comparison of banks'!P$4,'Data table'!$C$10:$C$39,0),MATCH($B10,'Data table'!$P$7:$R$7,0)),0,11),"")</f>
        <v/>
      </c>
      <c r="P10" s="16" t="str">
        <f ca="1">IFERROR(OFFSET(INDEX('Data table'!$E$10:$AY$39,MATCH('Comparison of banks'!P$4,'Data table'!$C$10:$C$39,0),MATCH($B10,'Data table'!$P$7:$R$7,0)),0,14),"")</f>
        <v/>
      </c>
      <c r="Q10" s="13" t="str">
        <f ca="1">IFERROR(OFFSET(INDEX('Data table'!$E$10:$AY$39,MATCH('Comparison of banks'!P$4,'Data table'!$C$10:$C$39,0),MATCH($B10,'Data table'!$P$7:$R$7,0)),0,17),"")</f>
        <v/>
      </c>
      <c r="R10" s="13" t="str">
        <f ca="1">IFERROR(OFFSET(INDEX('Data table'!$E$10:$AY$39,MATCH('Comparison of banks'!P$4,'Data table'!$C$10:$C$39,0),MATCH($B10,'Data table'!$P$7:$R$7,0)),0,20),"")</f>
        <v/>
      </c>
    </row>
    <row r="11" spans="2:19" x14ac:dyDescent="0.25">
      <c r="B11" s="39" t="str">
        <f>'Data table'!R7</f>
        <v>3-й</v>
      </c>
      <c r="C11" s="16" t="str">
        <f ca="1">IFERROR(OFFSET(INDEX('Data table'!$E$10:$AY$39,MATCH('Comparison of banks'!$D$4,'Data table'!$C$10:$C$39,0),MATCH($B11,'Data table'!$P$7:$R$7,0)),0,11),"")</f>
        <v/>
      </c>
      <c r="D11" s="16" t="str">
        <f ca="1">IFERROR(OFFSET(INDEX('Data table'!$E$10:$AY$39,MATCH('Comparison of banks'!$D$4,'Data table'!$C$10:$C$39,0),MATCH($B11,'Data table'!$P$7:$R$7,0)),0,14),"")</f>
        <v/>
      </c>
      <c r="E11" s="13" t="str">
        <f ca="1">IFERROR(OFFSET(INDEX('Data table'!$E$10:$AY$39,MATCH('Comparison of banks'!$D$4,'Data table'!$C$10:$C$39,0),MATCH($B11,'Data table'!$P$7:$R$7,0)),0,17),"")</f>
        <v/>
      </c>
      <c r="F11" s="13" t="str">
        <f ca="1">IFERROR(OFFSET(INDEX('Data table'!$E$10:$AY$39,MATCH('Comparison of banks'!$D$4,'Data table'!$C$10:$C$39,0),MATCH($B11,'Data table'!$P$7:$R$7,0)),0,20),"")</f>
        <v/>
      </c>
      <c r="G11" s="16" t="str">
        <f ca="1">IFERROR(OFFSET(INDEX('Data table'!$E$10:$AY$39,MATCH('Comparison of banks'!$H$4,'Data table'!$C$10:$C$39,0),MATCH($B11,'Data table'!$P$7:$R$7,0)),0,11),"")</f>
        <v/>
      </c>
      <c r="H11" s="16" t="str">
        <f ca="1">IFERROR(OFFSET(INDEX('Data table'!$E$10:$AY$39,MATCH('Comparison of banks'!$H$4,'Data table'!$C$10:$C$39,0),MATCH($B11,'Data table'!$P$7:$R$7,0)),0,14),"")</f>
        <v/>
      </c>
      <c r="I11" s="13" t="str">
        <f ca="1">IFERROR(OFFSET(INDEX('Data table'!$E$10:$AY$39,MATCH('Comparison of banks'!$H$4,'Data table'!$C$10:$C$39,0),MATCH($B11,'Data table'!$P$7:$R$7,0)),0,17),"")</f>
        <v/>
      </c>
      <c r="J11" s="13" t="str">
        <f ca="1">IFERROR(OFFSET(INDEX('Data table'!$E$10:$AY$39,MATCH('Comparison of banks'!$H$4,'Data table'!$C$10:$C$39,0),MATCH($B11,'Data table'!$P$7:$R$7,0)),0,20),"")</f>
        <v/>
      </c>
      <c r="K11" s="16" t="str">
        <f ca="1">IFERROR(OFFSET(INDEX('Data table'!$E$10:$AY$39,MATCH('Comparison of banks'!L$4,'Data table'!$C$10:$C$39,0),MATCH($B11,'Data table'!$P$7:$R$7,0)),0,11),"")</f>
        <v/>
      </c>
      <c r="L11" s="16" t="str">
        <f ca="1">IFERROR(OFFSET(INDEX('Data table'!$E$10:$AY$39,MATCH('Comparison of banks'!L$4,'Data table'!$C$10:$C$39,0),MATCH($B11,'Data table'!$P$7:$R$7,0)),0,14),"")</f>
        <v/>
      </c>
      <c r="M11" s="13" t="str">
        <f ca="1">IFERROR(OFFSET(INDEX('Data table'!$E$10:$AY$39,MATCH('Comparison of banks'!L$4,'Data table'!$C$10:$C$39,0),MATCH($B11,'Data table'!$P$7:$R$7,0)),0,17),"")</f>
        <v/>
      </c>
      <c r="N11" s="13" t="str">
        <f ca="1">IFERROR(OFFSET(INDEX('Data table'!$E$10:$AY$39,MATCH('Comparison of banks'!L$4,'Data table'!$C$10:$C$39,0),MATCH($B11,'Data table'!$P$7:$R$7,0)),0,20),"")</f>
        <v/>
      </c>
      <c r="O11" s="16" t="str">
        <f ca="1">IFERROR(OFFSET(INDEX('Data table'!$E$10:$AY$39,MATCH('Comparison of banks'!P$4,'Data table'!$C$10:$C$39,0),MATCH($B11,'Data table'!$P$7:$R$7,0)),0,11),"")</f>
        <v/>
      </c>
      <c r="P11" s="16" t="str">
        <f ca="1">IFERROR(OFFSET(INDEX('Data table'!$E$10:$AY$39,MATCH('Comparison of banks'!P$4,'Data table'!$C$10:$C$39,0),MATCH($B11,'Data table'!$P$7:$R$7,0)),0,14),"")</f>
        <v/>
      </c>
      <c r="Q11" s="13" t="str">
        <f ca="1">IFERROR(OFFSET(INDEX('Data table'!$E$10:$AY$39,MATCH('Comparison of banks'!P$4,'Data table'!$C$10:$C$39,0),MATCH($B11,'Data table'!$P$7:$R$7,0)),0,17),"")</f>
        <v/>
      </c>
      <c r="R11" s="13" t="str">
        <f ca="1">IFERROR(OFFSET(INDEX('Data table'!$E$10:$AY$39,MATCH('Comparison of banks'!P$4,'Data table'!$C$10:$C$39,0),MATCH($B11,'Data table'!$P$7:$R$7,0)),0,20),"")</f>
        <v/>
      </c>
    </row>
    <row r="12" spans="2:19" ht="13.25" customHeight="1" x14ac:dyDescent="0.25">
      <c r="B12" s="47" t="str">
        <f>B8</f>
        <v>Прогнозний рік</v>
      </c>
      <c r="C12" s="147" t="str">
        <f>'Comparison with group'!C13:O13</f>
        <v>За несприятливим макроекономічним сценарієм</v>
      </c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9"/>
    </row>
    <row r="13" spans="2:19" ht="14.4" customHeight="1" x14ac:dyDescent="0.25">
      <c r="B13" s="39" t="str">
        <f>B9</f>
        <v>1-й</v>
      </c>
      <c r="C13" s="25" t="str">
        <f ca="1">IFERROR(OFFSET(INDEX('Data table'!$E$10:$AY$39,MATCH('Comparison of banks'!$D$4,'Data table'!$C$10:$C$39,0),MATCH($B13,'Data table'!$P$7:$R$7,0)),0,26),"")</f>
        <v/>
      </c>
      <c r="D13" s="25" t="str">
        <f ca="1">IFERROR(OFFSET(INDEX('Data table'!$E$10:$AY$39,MATCH('Comparison of banks'!$D$4,'Data table'!$C$10:$C$39,0),MATCH($B13,'Data table'!$P$7:$R$7,0)),0,29),"")</f>
        <v/>
      </c>
      <c r="E13" s="13" t="str">
        <f ca="1">IFERROR(OFFSET(INDEX('Data table'!$E$10:$AY$39,MATCH('Comparison of banks'!$D$4,'Data table'!$C$10:$C$39,0),MATCH($B13,'Data table'!$P$7:$R$7,0)),0,32),"")</f>
        <v/>
      </c>
      <c r="F13" s="13" t="str">
        <f ca="1">IFERROR(OFFSET(INDEX('Data table'!$E$10:$AY$39,MATCH('Comparison of banks'!$D$4,'Data table'!$C$10:$C$39,0),MATCH($B13,'Data table'!$P$7:$R$7,0)),0,35),"")</f>
        <v/>
      </c>
      <c r="G13" s="25" t="str">
        <f ca="1">IFERROR(OFFSET(INDEX('Data table'!$E$10:$AY$39,MATCH('Comparison of banks'!$H$4,'Data table'!$C$10:$C$39,0),MATCH($B13,'Data table'!$P$7:$R$7,0)),0,26),"")</f>
        <v/>
      </c>
      <c r="H13" s="25" t="str">
        <f ca="1">IFERROR(OFFSET(INDEX('Data table'!$E$10:$AY$39,MATCH('Comparison of banks'!$H$4,'Data table'!$C$10:$C$39,0),MATCH($B13,'Data table'!$P$7:$R$7,0)),0,29),"")</f>
        <v/>
      </c>
      <c r="I13" s="13" t="str">
        <f ca="1">IFERROR(OFFSET(INDEX('Data table'!$E$10:$AY$39,MATCH('Comparison of banks'!$H$4,'Data table'!$C$10:$C$39,0),MATCH($B13,'Data table'!$P$7:$R$7,0)),0,32),"")</f>
        <v/>
      </c>
      <c r="J13" s="13" t="str">
        <f ca="1">IFERROR(OFFSET(INDEX('Data table'!$E$10:$AY$39,MATCH('Comparison of banks'!$H$4,'Data table'!$C$10:$C$39,0),MATCH($B13,'Data table'!$P$7:$R$7,0)),0,35),"")</f>
        <v/>
      </c>
      <c r="K13" s="25" t="str">
        <f ca="1">IFERROR(OFFSET(INDEX('Data table'!$E$10:$AY$39,MATCH('Comparison of banks'!$L$4,'Data table'!$C$10:$C$39,0),MATCH($B13,'Data table'!$P$7:$R$7,0)),0,26),"")</f>
        <v/>
      </c>
      <c r="L13" s="25" t="str">
        <f ca="1">IFERROR(OFFSET(INDEX('Data table'!$E$10:$AY$39,MATCH('Comparison of banks'!$L$4,'Data table'!$C$10:$C$39,0),MATCH($B13,'Data table'!$P$7:$R$7,0)),0,29),"")</f>
        <v/>
      </c>
      <c r="M13" s="13" t="str">
        <f ca="1">IFERROR(OFFSET(INDEX('Data table'!$E$10:$AY$39,MATCH('Comparison of banks'!$L$4,'Data table'!$C$10:$C$39,0),MATCH($B13,'Data table'!$P$7:$R$7,0)),0,32),"")</f>
        <v/>
      </c>
      <c r="N13" s="13" t="str">
        <f ca="1">IFERROR(OFFSET(INDEX('Data table'!$E$10:$AY$39,MATCH('Comparison of banks'!$L$4,'Data table'!$C$10:$C$39,0),MATCH($B13,'Data table'!$P$7:$R$7,0)),0,35),"")</f>
        <v/>
      </c>
      <c r="O13" s="25" t="str">
        <f ca="1">IFERROR(OFFSET(INDEX('Data table'!$E$10:$AY$39,MATCH('Comparison of banks'!$P$4,'Data table'!$C$10:$C$39,0),MATCH($B13,'Data table'!$P$7:$R$7,0)),0,26),"")</f>
        <v/>
      </c>
      <c r="P13" s="25" t="str">
        <f ca="1">IFERROR(OFFSET(INDEX('Data table'!$E$10:$AY$39,MATCH('Comparison of banks'!$P$4,'Data table'!$C$10:$C$39,0),MATCH($B13,'Data table'!$P$7:$R$7,0)),0,29),"")</f>
        <v/>
      </c>
      <c r="Q13" s="13" t="str">
        <f ca="1">IFERROR(OFFSET(INDEX('Data table'!$E$10:$AY$39,MATCH('Comparison of banks'!$P$4,'Data table'!$C$10:$C$39,0),MATCH($B13,'Data table'!$P$7:$R$7,0)),0,32),"")</f>
        <v/>
      </c>
      <c r="R13" s="13" t="str">
        <f ca="1">IFERROR(OFFSET(INDEX('Data table'!$E$10:$AY$39,MATCH('Comparison of banks'!$P$4,'Data table'!$C$10:$C$39,0),MATCH($B13,'Data table'!$P$7:$R$7,0)),0,35),"")</f>
        <v/>
      </c>
    </row>
    <row r="14" spans="2:19" x14ac:dyDescent="0.25">
      <c r="B14" s="39" t="str">
        <f>B10</f>
        <v>2-й</v>
      </c>
      <c r="C14" s="25" t="str">
        <f ca="1">IFERROR(OFFSET(INDEX('Data table'!$E$10:$AY$39,MATCH('Comparison of banks'!$D$4,'Data table'!$C$10:$C$39,0),MATCH($B14,'Data table'!$P$7:$R$7,0)),0,26),"")</f>
        <v/>
      </c>
      <c r="D14" s="25" t="str">
        <f ca="1">IFERROR(OFFSET(INDEX('Data table'!$E$10:$AY$39,MATCH('Comparison of banks'!$D$4,'Data table'!$C$10:$C$39,0),MATCH($B14,'Data table'!$P$7:$R$7,0)),0,29),"")</f>
        <v/>
      </c>
      <c r="E14" s="13" t="str">
        <f ca="1">IFERROR(OFFSET(INDEX('Data table'!$E$10:$AY$39,MATCH('Comparison of banks'!$D$4,'Data table'!$C$10:$C$39,0),MATCH($B14,'Data table'!$P$7:$R$7,0)),0,32),"")</f>
        <v/>
      </c>
      <c r="F14" s="13" t="str">
        <f ca="1">IFERROR(OFFSET(INDEX('Data table'!$E$10:$AY$39,MATCH('Comparison of banks'!$D$4,'Data table'!$C$10:$C$39,0),MATCH($B14,'Data table'!$P$7:$R$7,0)),0,35),"")</f>
        <v/>
      </c>
      <c r="G14" s="25" t="str">
        <f ca="1">IFERROR(OFFSET(INDEX('Data table'!$E$10:$AY$39,MATCH('Comparison of banks'!$H$4,'Data table'!$C$10:$C$39,0),MATCH($B14,'Data table'!$P$7:$R$7,0)),0,26),"")</f>
        <v/>
      </c>
      <c r="H14" s="25" t="str">
        <f ca="1">IFERROR(OFFSET(INDEX('Data table'!$E$10:$AY$39,MATCH('Comparison of banks'!$H$4,'Data table'!$C$10:$C$39,0),MATCH($B14,'Data table'!$P$7:$R$7,0)),0,29),"")</f>
        <v/>
      </c>
      <c r="I14" s="13" t="str">
        <f ca="1">IFERROR(OFFSET(INDEX('Data table'!$E$10:$AY$39,MATCH('Comparison of banks'!$H$4,'Data table'!$C$10:$C$39,0),MATCH($B14,'Data table'!$P$7:$R$7,0)),0,32),"")</f>
        <v/>
      </c>
      <c r="J14" s="13" t="str">
        <f ca="1">IFERROR(OFFSET(INDEX('Data table'!$E$10:$AY$39,MATCH('Comparison of banks'!$H$4,'Data table'!$C$10:$C$39,0),MATCH($B14,'Data table'!$P$7:$R$7,0)),0,35),"")</f>
        <v/>
      </c>
      <c r="K14" s="25" t="str">
        <f ca="1">IFERROR(OFFSET(INDEX('Data table'!$E$10:$AY$39,MATCH('Comparison of banks'!$L$4,'Data table'!$C$10:$C$39,0),MATCH($B14,'Data table'!$P$7:$R$7,0)),0,26),"")</f>
        <v/>
      </c>
      <c r="L14" s="25" t="str">
        <f ca="1">IFERROR(OFFSET(INDEX('Data table'!$E$10:$AY$39,MATCH('Comparison of banks'!$L$4,'Data table'!$C$10:$C$39,0),MATCH($B14,'Data table'!$P$7:$R$7,0)),0,29),"")</f>
        <v/>
      </c>
      <c r="M14" s="13" t="str">
        <f ca="1">IFERROR(OFFSET(INDEX('Data table'!$E$10:$AY$39,MATCH('Comparison of banks'!$L$4,'Data table'!$C$10:$C$39,0),MATCH($B14,'Data table'!$P$7:$R$7,0)),0,32),"")</f>
        <v/>
      </c>
      <c r="N14" s="13" t="str">
        <f ca="1">IFERROR(OFFSET(INDEX('Data table'!$E$10:$AY$39,MATCH('Comparison of banks'!$L$4,'Data table'!$C$10:$C$39,0),MATCH($B14,'Data table'!$P$7:$R$7,0)),0,35),"")</f>
        <v/>
      </c>
      <c r="O14" s="25" t="str">
        <f ca="1">IFERROR(OFFSET(INDEX('Data table'!$E$10:$AY$39,MATCH('Comparison of banks'!$P$4,'Data table'!$C$10:$C$39,0),MATCH($B14,'Data table'!$P$7:$R$7,0)),0,26),"")</f>
        <v/>
      </c>
      <c r="P14" s="25" t="str">
        <f ca="1">IFERROR(OFFSET(INDEX('Data table'!$E$10:$AY$39,MATCH('Comparison of banks'!$P$4,'Data table'!$C$10:$C$39,0),MATCH($B14,'Data table'!$P$7:$R$7,0)),0,29),"")</f>
        <v/>
      </c>
      <c r="Q14" s="13" t="str">
        <f ca="1">IFERROR(OFFSET(INDEX('Data table'!$E$10:$AY$39,MATCH('Comparison of banks'!$P$4,'Data table'!$C$10:$C$39,0),MATCH($B14,'Data table'!$P$7:$R$7,0)),0,32),"")</f>
        <v/>
      </c>
      <c r="R14" s="13" t="str">
        <f ca="1">IFERROR(OFFSET(INDEX('Data table'!$E$10:$AY$39,MATCH('Comparison of banks'!$P$4,'Data table'!$C$10:$C$39,0),MATCH($B14,'Data table'!$P$7:$R$7,0)),0,35),"")</f>
        <v/>
      </c>
    </row>
    <row r="15" spans="2:19" x14ac:dyDescent="0.25">
      <c r="B15" s="39" t="str">
        <f>B11</f>
        <v>3-й</v>
      </c>
      <c r="C15" s="25" t="str">
        <f ca="1">IFERROR(OFFSET(INDEX('Data table'!$E$10:$AY$39,MATCH('Comparison of banks'!$D$4,'Data table'!$C$10:$C$39,0),MATCH($B15,'Data table'!$P$7:$R$7,0)),0,26),"")</f>
        <v/>
      </c>
      <c r="D15" s="25" t="str">
        <f ca="1">IFERROR(OFFSET(INDEX('Data table'!$E$10:$AY$39,MATCH('Comparison of banks'!$D$4,'Data table'!$C$10:$C$39,0),MATCH($B15,'Data table'!$P$7:$R$7,0)),0,29),"")</f>
        <v/>
      </c>
      <c r="E15" s="13" t="str">
        <f ca="1">IFERROR(OFFSET(INDEX('Data table'!$E$10:$AY$39,MATCH('Comparison of banks'!$D$4,'Data table'!$C$10:$C$39,0),MATCH($B15,'Data table'!$P$7:$R$7,0)),0,32),"")</f>
        <v/>
      </c>
      <c r="F15" s="13" t="str">
        <f ca="1">IFERROR(OFFSET(INDEX('Data table'!$E$10:$AY$39,MATCH('Comparison of banks'!$D$4,'Data table'!$C$10:$C$39,0),MATCH($B15,'Data table'!$P$7:$R$7,0)),0,35),"")</f>
        <v/>
      </c>
      <c r="G15" s="25" t="str">
        <f ca="1">IFERROR(OFFSET(INDEX('Data table'!$E$10:$AY$39,MATCH('Comparison of banks'!$H$4,'Data table'!$C$10:$C$39,0),MATCH($B15,'Data table'!$P$7:$R$7,0)),0,26),"")</f>
        <v/>
      </c>
      <c r="H15" s="25" t="str">
        <f ca="1">IFERROR(OFFSET(INDEX('Data table'!$E$10:$AY$39,MATCH('Comparison of banks'!$H$4,'Data table'!$C$10:$C$39,0),MATCH($B15,'Data table'!$P$7:$R$7,0)),0,29),"")</f>
        <v/>
      </c>
      <c r="I15" s="13" t="str">
        <f ca="1">IFERROR(OFFSET(INDEX('Data table'!$E$10:$AY$39,MATCH('Comparison of banks'!$H$4,'Data table'!$C$10:$C$39,0),MATCH($B15,'Data table'!$P$7:$R$7,0)),0,32),"")</f>
        <v/>
      </c>
      <c r="J15" s="13" t="str">
        <f ca="1">IFERROR(OFFSET(INDEX('Data table'!$E$10:$AY$39,MATCH('Comparison of banks'!$H$4,'Data table'!$C$10:$C$39,0),MATCH($B15,'Data table'!$P$7:$R$7,0)),0,35),"")</f>
        <v/>
      </c>
      <c r="K15" s="25" t="str">
        <f ca="1">IFERROR(OFFSET(INDEX('Data table'!$E$10:$AY$39,MATCH('Comparison of banks'!$L$4,'Data table'!$C$10:$C$39,0),MATCH($B15,'Data table'!$P$7:$R$7,0)),0,26),"")</f>
        <v/>
      </c>
      <c r="L15" s="25" t="str">
        <f ca="1">IFERROR(OFFSET(INDEX('Data table'!$E$10:$AY$39,MATCH('Comparison of banks'!$L$4,'Data table'!$C$10:$C$39,0),MATCH($B15,'Data table'!$P$7:$R$7,0)),0,29),"")</f>
        <v/>
      </c>
      <c r="M15" s="13" t="str">
        <f ca="1">IFERROR(OFFSET(INDEX('Data table'!$E$10:$AY$39,MATCH('Comparison of banks'!$L$4,'Data table'!$C$10:$C$39,0),MATCH($B15,'Data table'!$P$7:$R$7,0)),0,32),"")</f>
        <v/>
      </c>
      <c r="N15" s="13" t="str">
        <f ca="1">IFERROR(OFFSET(INDEX('Data table'!$E$10:$AY$39,MATCH('Comparison of banks'!$L$4,'Data table'!$C$10:$C$39,0),MATCH($B15,'Data table'!$P$7:$R$7,0)),0,35),"")</f>
        <v/>
      </c>
      <c r="O15" s="25" t="str">
        <f ca="1">IFERROR(OFFSET(INDEX('Data table'!$E$10:$AY$39,MATCH('Comparison of banks'!$P$4,'Data table'!$C$10:$C$39,0),MATCH($B15,'Data table'!$P$7:$R$7,0)),0,26),"")</f>
        <v/>
      </c>
      <c r="P15" s="25" t="str">
        <f ca="1">IFERROR(OFFSET(INDEX('Data table'!$E$10:$AY$39,MATCH('Comparison of banks'!$P$4,'Data table'!$C$10:$C$39,0),MATCH($B15,'Data table'!$P$7:$R$7,0)),0,29),"")</f>
        <v/>
      </c>
      <c r="Q15" s="13" t="str">
        <f ca="1">IFERROR(OFFSET(INDEX('Data table'!$E$10:$AY$39,MATCH('Comparison of banks'!$P$4,'Data table'!$C$10:$C$39,0),MATCH($B15,'Data table'!$P$7:$R$7,0)),0,32),"")</f>
        <v/>
      </c>
      <c r="R15" s="13" t="str">
        <f ca="1">IFERROR(OFFSET(INDEX('Data table'!$E$10:$AY$39,MATCH('Comparison of banks'!$P$4,'Data table'!$C$10:$C$39,0),MATCH($B15,'Data table'!$P$7:$R$7,0)),0,35),"")</f>
        <v/>
      </c>
    </row>
    <row r="16" spans="2:19" ht="12" customHeight="1" x14ac:dyDescent="0.25">
      <c r="B16" s="57" t="str">
        <f>'Individual banks'!$B$13</f>
        <v>AQR -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v>
      </c>
      <c r="C16" s="46"/>
      <c r="D16" s="46"/>
      <c r="E16" s="7"/>
      <c r="F16" s="7"/>
      <c r="G16" s="29"/>
      <c r="H16" s="29"/>
      <c r="I16" s="7"/>
      <c r="J16" s="7"/>
      <c r="K16" s="29"/>
      <c r="L16" s="29"/>
      <c r="M16" s="7"/>
      <c r="N16" s="7"/>
      <c r="O16" s="29"/>
      <c r="P16" s="29"/>
      <c r="Q16" s="7"/>
      <c r="R16" s="7"/>
    </row>
    <row r="17" spans="2:18" ht="11.4" customHeight="1" x14ac:dyDescent="0.25">
      <c r="B17" s="57" t="str">
        <f>IF($R$1="ENG","","ОК - основний капітал, РК - регулятивний капітал, Н2 - норматив адекватності регулятивного капіталу, Н3 - норматив адекватності основного капіталу.")</f>
        <v>ОК - основний капітал, РК - регулятивний капітал, Н2 - норматив адекватності регулятивного капіталу, Н3 - норматив адекватності основного капіталу.</v>
      </c>
      <c r="C17" s="46"/>
      <c r="D17" s="46"/>
      <c r="E17" s="7"/>
      <c r="J17" s="7"/>
      <c r="K17" s="29"/>
      <c r="L17" s="29"/>
      <c r="M17" s="7"/>
      <c r="N17" s="7"/>
      <c r="O17" s="29"/>
      <c r="P17" s="29"/>
      <c r="Q17" s="7"/>
      <c r="R17" s="7"/>
    </row>
    <row r="18" spans="2:18" ht="23.4" customHeight="1" x14ac:dyDescent="0.25">
      <c r="B18" s="151" t="str">
        <f>IFERROR(IF(OR(COUNTIF($C$4:$R$4,"Альфа-Банк**")&gt;0,COUNTIF($C$4:$R$4,"Укрсоцбанк**")&gt;0,COUNTIF($C$4:$R$4,"Alfa-Bank**")&gt;0,COUNTIF($C$4:$R$4,"Ukrsotsbank**")&gt;0),'Data table'!$A$45,""),"")</f>
        <v/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</row>
    <row r="19" spans="2:18" ht="13.25" customHeight="1" x14ac:dyDescent="0.25">
      <c r="C19" s="146" t="str">
        <f>IF($R$1="ENG","Core capital under baseline scenario,
UAH mln","Основний капітал за базовим сценарієм, 
млн грн")</f>
        <v>Основний капітал за базовим сценарієм, 
млн грн</v>
      </c>
      <c r="D19" s="146"/>
      <c r="E19" s="146"/>
      <c r="F19" s="146"/>
      <c r="G19" s="146" t="str">
        <f>IF($R$1="ENG","Core capital ratio under baseline scenario","Норматив достатності основного капіталу Н3 за базовим сценарієм")</f>
        <v>Норматив достатності основного капіталу Н3 за базовим сценарієм</v>
      </c>
      <c r="H19" s="146"/>
      <c r="I19" s="146"/>
      <c r="J19" s="146"/>
      <c r="K19" s="146" t="str">
        <f>IF($R$1="ENG","Core capital under adverse scenario,
UAH mln","Основний капітал за несприятливим
сценарієм, млн грн")</f>
        <v>Основний капітал за несприятливим
сценарієм, млн грн</v>
      </c>
      <c r="L19" s="146"/>
      <c r="M19" s="146"/>
      <c r="N19" s="146"/>
      <c r="O19" s="146" t="str">
        <f>IF($R$1="ENG","Core capital ratio under adverse scenario","Норматив достатності основного капіталу Н3 за несприятливим сценарієм")</f>
        <v>Норматив достатності основного капіталу Н3 за несприятливим сценарієм</v>
      </c>
      <c r="P19" s="146"/>
      <c r="Q19" s="146"/>
      <c r="R19" s="146"/>
    </row>
    <row r="20" spans="2:18" ht="13" x14ac:dyDescent="0.25">
      <c r="B20" s="30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</row>
  </sheetData>
  <mergeCells count="8">
    <mergeCell ref="G19:J20"/>
    <mergeCell ref="B4:B5"/>
    <mergeCell ref="O19:R20"/>
    <mergeCell ref="K19:N20"/>
    <mergeCell ref="C12:R12"/>
    <mergeCell ref="C8:R8"/>
    <mergeCell ref="C19:F20"/>
    <mergeCell ref="B18:R18"/>
  </mergeCells>
  <pageMargins left="0.7" right="0.7" top="0.75" bottom="0.75" header="0.3" footer="0.3"/>
  <pageSetup paperSize="9" orientation="portrait" r:id="rId1"/>
  <ignoredErrors>
    <ignoredError sqref="E4:F4 I4:J4 M4:N4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Drop Down 2">
              <controlPr defaultSize="0" autoLine="0" autoPict="0">
                <anchor moveWithCells="1">
                  <from>
                    <xdr:col>2</xdr:col>
                    <xdr:colOff>311150</xdr:colOff>
                    <xdr:row>3</xdr:row>
                    <xdr:rowOff>44450</xdr:rowOff>
                  </from>
                  <to>
                    <xdr:col>5</xdr:col>
                    <xdr:colOff>425450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Drop Down 3">
              <controlPr defaultSize="0" autoLine="0" autoPict="0">
                <anchor moveWithCells="1">
                  <from>
                    <xdr:col>6</xdr:col>
                    <xdr:colOff>336550</xdr:colOff>
                    <xdr:row>3</xdr:row>
                    <xdr:rowOff>38100</xdr:rowOff>
                  </from>
                  <to>
                    <xdr:col>9</xdr:col>
                    <xdr:colOff>412750</xdr:colOff>
                    <xdr:row>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Drop Down 4">
              <controlPr defaultSize="0" autoLine="0" autoPict="0">
                <anchor moveWithCells="1">
                  <from>
                    <xdr:col>10</xdr:col>
                    <xdr:colOff>336550</xdr:colOff>
                    <xdr:row>3</xdr:row>
                    <xdr:rowOff>44450</xdr:rowOff>
                  </from>
                  <to>
                    <xdr:col>13</xdr:col>
                    <xdr:colOff>520700</xdr:colOff>
                    <xdr:row>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Drop Down 6">
              <controlPr defaultSize="0" autoLine="0" autoPict="0">
                <anchor moveWithCells="1">
                  <from>
                    <xdr:col>14</xdr:col>
                    <xdr:colOff>304800</xdr:colOff>
                    <xdr:row>3</xdr:row>
                    <xdr:rowOff>38100</xdr:rowOff>
                  </from>
                  <to>
                    <xdr:col>17</xdr:col>
                    <xdr:colOff>412750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Drop Down 7">
              <controlPr defaultSize="0" autoLine="0" autoPict="0">
                <anchor moveWithCells="1">
                  <from>
                    <xdr:col>16</xdr:col>
                    <xdr:colOff>501650</xdr:colOff>
                    <xdr:row>0</xdr:row>
                    <xdr:rowOff>0</xdr:rowOff>
                  </from>
                  <to>
                    <xdr:col>18</xdr:col>
                    <xdr:colOff>6350</xdr:colOff>
                    <xdr:row>1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Аркуш3"/>
  <dimension ref="A1:R43"/>
  <sheetViews>
    <sheetView zoomScale="80" zoomScaleNormal="80" workbookViewId="0">
      <selection activeCell="G7" sqref="G7"/>
    </sheetView>
  </sheetViews>
  <sheetFormatPr defaultColWidth="8.90625" defaultRowHeight="12.5" x14ac:dyDescent="0.25"/>
  <cols>
    <col min="1" max="1" width="4" style="1" customWidth="1"/>
    <col min="2" max="2" width="24.08984375" style="1" customWidth="1"/>
    <col min="3" max="3" width="12" style="1" customWidth="1"/>
    <col min="4" max="4" width="12.90625" style="1" customWidth="1"/>
    <col min="5" max="5" width="11" style="1" customWidth="1"/>
    <col min="6" max="6" width="12.36328125" style="1" customWidth="1"/>
    <col min="7" max="7" width="12" style="1" customWidth="1"/>
    <col min="8" max="8" width="13.453125" style="1" customWidth="1"/>
    <col min="9" max="9" width="10.36328125" style="1" customWidth="1"/>
    <col min="10" max="10" width="11.6328125" style="1" customWidth="1"/>
    <col min="11" max="11" width="12.08984375" style="1" customWidth="1"/>
    <col min="12" max="12" width="11.90625" style="1" customWidth="1"/>
    <col min="13" max="13" width="10.36328125" style="1" customWidth="1"/>
    <col min="14" max="14" width="11.6328125" style="1" customWidth="1"/>
    <col min="15" max="15" width="12.453125" style="1" customWidth="1"/>
    <col min="16" max="16384" width="8.90625" style="1"/>
  </cols>
  <sheetData>
    <row r="1" spans="1:18" ht="13" x14ac:dyDescent="0.3">
      <c r="O1" s="56" t="str">
        <f>'Individual banks'!K1</f>
        <v>UA</v>
      </c>
      <c r="P1" s="62" t="str">
        <f>IF($O$1="ENG","Змінити мову тут","Change language here")</f>
        <v>Change language here</v>
      </c>
    </row>
    <row r="2" spans="1:18" ht="13" x14ac:dyDescent="0.3">
      <c r="B2" s="45" t="str">
        <f>IF($O$1="ENG","Stress test results (comparison across groups of banks)","Результати стрес-тестування банку (порівняння із відповідною групою банків)")</f>
        <v>Результати стрес-тестування банку (порівняння із відповідною групою банків)</v>
      </c>
      <c r="H2" s="43">
        <v>31</v>
      </c>
      <c r="I2" s="44" t="e">
        <f>INDEX('Data table'!$C$10:$C$39,H2,1)</f>
        <v>#REF!</v>
      </c>
      <c r="J2" s="5"/>
      <c r="K2" s="5"/>
    </row>
    <row r="3" spans="1:18" ht="13" x14ac:dyDescent="0.3">
      <c r="C3" s="10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8" x14ac:dyDescent="0.25">
      <c r="B4" s="11"/>
      <c r="C4" s="11"/>
      <c r="D4" s="11"/>
      <c r="E4" s="11"/>
      <c r="F4" s="11"/>
      <c r="I4" s="6"/>
      <c r="J4" s="6"/>
      <c r="K4" s="11"/>
      <c r="L4" s="11"/>
      <c r="M4" s="11"/>
      <c r="N4" s="11"/>
      <c r="O4" s="12" t="s">
        <v>0</v>
      </c>
    </row>
    <row r="5" spans="1:18" ht="20.399999999999999" customHeight="1" x14ac:dyDescent="0.25">
      <c r="B5" s="143" t="str">
        <f>IF($O$1="ENG","Indicator","Показник")</f>
        <v>Показник</v>
      </c>
      <c r="C5" s="143" t="str">
        <f>IFERROR(I2,"")</f>
        <v/>
      </c>
      <c r="D5" s="143"/>
      <c r="E5" s="143"/>
      <c r="F5" s="143"/>
      <c r="G5" s="145" t="str">
        <f>IF($O$1="ENG","All banks under stress test","Усі банки, що проходили стрес-тестування")</f>
        <v>Усі банки, що проходили стрес-тестування</v>
      </c>
      <c r="H5" s="145"/>
      <c r="I5" s="145"/>
      <c r="J5" s="145"/>
      <c r="K5" s="143" t="str">
        <f>IFERROR(VLOOKUP(I2,'Data table'!$C$10:$D$39,2,0),"")</f>
        <v/>
      </c>
      <c r="L5" s="143"/>
      <c r="M5" s="143"/>
      <c r="N5" s="143"/>
      <c r="O5" s="139" t="str">
        <f>'Individual banks'!B11</f>
        <v>Граничне значення Н3</v>
      </c>
    </row>
    <row r="6" spans="1:18" ht="39" customHeight="1" x14ac:dyDescent="0.25">
      <c r="B6" s="150"/>
      <c r="C6" s="74" t="str">
        <f>'Data table'!E6</f>
        <v>ОК, млн грн</v>
      </c>
      <c r="D6" s="74" t="str">
        <f>'Data table'!F6</f>
        <v>РК, млн грн</v>
      </c>
      <c r="E6" s="74" t="str">
        <f>'Data table'!G6</f>
        <v>Н2</v>
      </c>
      <c r="F6" s="74" t="str">
        <f>'Data table'!H6</f>
        <v>Н3</v>
      </c>
      <c r="G6" s="74" t="str">
        <f t="shared" ref="G6:N6" si="0">C6</f>
        <v>ОК, млн грн</v>
      </c>
      <c r="H6" s="74" t="str">
        <f t="shared" si="0"/>
        <v>РК, млн грн</v>
      </c>
      <c r="I6" s="74" t="str">
        <f t="shared" si="0"/>
        <v>Н2</v>
      </c>
      <c r="J6" s="74" t="str">
        <f t="shared" si="0"/>
        <v>Н3</v>
      </c>
      <c r="K6" s="74" t="str">
        <f t="shared" si="0"/>
        <v>ОК, млн грн</v>
      </c>
      <c r="L6" s="74" t="str">
        <f t="shared" si="0"/>
        <v>РК, млн грн</v>
      </c>
      <c r="M6" s="74" t="str">
        <f t="shared" si="0"/>
        <v>Н2</v>
      </c>
      <c r="N6" s="74" t="str">
        <f t="shared" si="0"/>
        <v>Н3</v>
      </c>
      <c r="O6" s="140"/>
    </row>
    <row r="7" spans="1:18" x14ac:dyDescent="0.25">
      <c r="A7" s="64"/>
      <c r="B7" s="23" t="str">
        <f>'Individual banks'!C4</f>
        <v>Дані банку на 01.01.21</v>
      </c>
      <c r="C7" s="59" t="str">
        <f>IFERROR(INDEX('Data table'!$E$10:$AY$39,MATCH('Comparison with group'!$I$2,'Data table'!$C$10:$C$39,0),MATCH('Comparison with group'!C$6,'Data table'!$E$6:$I$6,0)),"")</f>
        <v/>
      </c>
      <c r="D7" s="59" t="str">
        <f>IFERROR(INDEX('Data table'!$E$10:$AY$39,MATCH('Comparison with group'!$I$2,'Data table'!$C$10:$C$39,0),MATCH('Comparison with group'!D$6,'Data table'!$E$6:$I$6,0)),"")</f>
        <v/>
      </c>
      <c r="E7" s="15" t="str">
        <f>IFERROR(INDEX('Data table'!$E$10:$AY$39,MATCH('Comparison with group'!$I$2,'Data table'!$C$10:$C$39,0),MATCH('Comparison with group'!E$6,'Data table'!$E$6:$I$6,0)),"")</f>
        <v/>
      </c>
      <c r="F7" s="15" t="str">
        <f>IFERROR(INDEX('Data table'!$E$10:$AY$39,MATCH('Comparison with group'!$I$2,'Data table'!$C$10:$C$39,0),MATCH('Comparison with group'!F$6,'Data table'!$E$6:$I$6,0)),"")</f>
        <v/>
      </c>
      <c r="G7" s="59">
        <f>SUM('Data table'!E$10:E$39)</f>
        <v>112403.53599999998</v>
      </c>
      <c r="H7" s="59">
        <f>SUM('Data table'!F$10:F$39)</f>
        <v>157496.78400000001</v>
      </c>
      <c r="I7" s="15">
        <f>IFERROR(H7/SUM('Data table'!$I$10:$I$39),"")</f>
        <v>0.20254747037665824</v>
      </c>
      <c r="J7" s="15">
        <f>IFERROR(G7/SUM('Data table'!$I$10:$I$39),"")</f>
        <v>0.14455566202667117</v>
      </c>
      <c r="K7" s="59" t="str">
        <f>IF(K5="","",SUMIFS('Data table'!E$10:E$39,'Data table'!$D$10:$D$39,'Comparison with group'!$K$5:$N$5))</f>
        <v/>
      </c>
      <c r="L7" s="59" t="str">
        <f>IF(K5="","",SUMIFS('Data table'!F$10:F$39,'Data table'!$D$10:$D$39,$K$5))</f>
        <v/>
      </c>
      <c r="M7" s="15" t="str">
        <f>IFERROR(L7/SUMIFS('Data table'!$I$10:$I$39,'Data table'!$D$10:$D$39,$K$5),"")</f>
        <v/>
      </c>
      <c r="N7" s="15" t="str">
        <f>IFERROR(K7/SUMIFS('Data table'!$I$10:$I$39,'Data table'!$D$10:$D$39,$K$5),"")</f>
        <v/>
      </c>
      <c r="O7" s="58">
        <v>7.0000000000000007E-2</v>
      </c>
      <c r="P7" s="129"/>
      <c r="Q7" s="50"/>
      <c r="R7" s="129"/>
    </row>
    <row r="8" spans="1:18" x14ac:dyDescent="0.25">
      <c r="A8" s="64"/>
      <c r="B8" s="19" t="str">
        <f>'Individual banks'!D4</f>
        <v>AQR на 01.01.21</v>
      </c>
      <c r="C8" s="16" t="str">
        <f ca="1">IFERROR(OFFSET(INDEX('Data table'!$E$10:$AY$39,MATCH('Comparison with group'!$I$2,'Data table'!$C$10:$C$39,0),MATCH('Comparison with group'!C$6,'Data table'!$J$6:$O$6,0)),0,5),"")</f>
        <v/>
      </c>
      <c r="D8" s="16" t="str">
        <f ca="1">IFERROR(OFFSET(INDEX('Data table'!$E$10:$AY$39,MATCH('Comparison with group'!$I$2,'Data table'!$C$10:$C$39,0),MATCH('Comparison with group'!D$6,'Data table'!$J$6:$O$6,0)),0,5),"")</f>
        <v/>
      </c>
      <c r="E8" s="13" t="str">
        <f ca="1">IFERROR(OFFSET(INDEX('Data table'!$E$10:$AY$39,MATCH('Comparison with group'!$I$2,'Data table'!$C$10:$C$39,0),MATCH('Comparison with group'!E$6,'Data table'!$J$6:$O$6,0)),0,5),"")</f>
        <v/>
      </c>
      <c r="F8" s="13" t="str">
        <f ca="1">IFERROR(OFFSET(INDEX('Data table'!$E$10:$AY$39,MATCH('Comparison with group'!$I$2,'Data table'!$C$10:$C$39,0),MATCH('Comparison with group'!F$6,'Data table'!$J$6:$O$6,0)),0,5),"")</f>
        <v/>
      </c>
      <c r="G8" s="16">
        <f>SUM('Data table'!K$10:K$39)</f>
        <v>112108.466</v>
      </c>
      <c r="H8" s="16">
        <f>SUM('Data table'!L$10:L$39)</f>
        <v>156985.01999999999</v>
      </c>
      <c r="I8" s="13">
        <f>IFERROR(H8/SUM('Data table'!$O$10:$O$39),"")</f>
        <v>0.20203022996909809</v>
      </c>
      <c r="J8" s="13">
        <f>IFERROR(G8/SUM('Data table'!$O$10:$O$39),"")</f>
        <v>0.14427681805221171</v>
      </c>
      <c r="K8" s="16" t="str">
        <f>IF(K5="","",SUMIFS('Data table'!K$10:K$39,'Data table'!$D$10:$D$39,'Comparison with group'!$K$5:$N$5))</f>
        <v/>
      </c>
      <c r="L8" s="16" t="str">
        <f>IF(K5="","",SUMIFS('Data table'!L$10:L$39,'Data table'!$D$10:$D$39,$K$5))</f>
        <v/>
      </c>
      <c r="M8" s="13" t="str">
        <f>IFERROR(L8/SUMIFS('Data table'!$O$10:$O$39,'Data table'!$D$10:$D$39,$K$5),"")</f>
        <v/>
      </c>
      <c r="N8" s="13" t="str">
        <f>IFERROR(K8/SUMIFS('Data table'!$O$10:$O$39,'Data table'!$D$10:$D$39,$K$5),"")</f>
        <v/>
      </c>
      <c r="O8" s="54">
        <v>7.0000000000000007E-2</v>
      </c>
      <c r="P8" s="129"/>
      <c r="Q8" s="50"/>
      <c r="R8" s="129"/>
    </row>
    <row r="9" spans="1:18" ht="13.25" customHeight="1" x14ac:dyDescent="0.25">
      <c r="B9" s="53" t="str">
        <f>IF($O$1="ENG","Forecast year","Прогнозний рік")</f>
        <v>Прогнозний рік</v>
      </c>
      <c r="C9" s="147" t="str">
        <f>IF($O$1="ENG","Baseline scenario","За базовим макроекономічним сценарієм")</f>
        <v>За базовим макроекономічним сценарієм</v>
      </c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9"/>
    </row>
    <row r="10" spans="1:18" x14ac:dyDescent="0.25">
      <c r="B10" s="26" t="str">
        <f>'Data table'!P7</f>
        <v>1-й</v>
      </c>
      <c r="C10" s="16" t="str">
        <f ca="1">IFERROR(OFFSET(INDEX('Data table'!$E$10:$AY$39,MATCH('Comparison with group'!$I$2,'Data table'!$C$10:$C$39,0),MATCH($B10,'Data table'!$P$7:$R$7,0)),0,11),"")</f>
        <v/>
      </c>
      <c r="D10" s="16" t="str">
        <f ca="1">IFERROR(OFFSET(INDEX('Data table'!$E$10:$AY$39,MATCH('Comparison with group'!$I$2,'Data table'!$C$10:$C$39,0),MATCH($B10,'Data table'!$P$7:$R$7,0)),0,14),"")</f>
        <v/>
      </c>
      <c r="E10" s="13" t="str">
        <f ca="1">IFERROR(OFFSET(INDEX('Data table'!$E$10:$AY$39,MATCH('Comparison with group'!$I$2,'Data table'!$C$10:$C$39,0),MATCH($B10,'Data table'!$P$7:$R$7,0)),0,17),"")</f>
        <v/>
      </c>
      <c r="F10" s="13" t="str">
        <f ca="1">IFERROR(OFFSET(INDEX('Data table'!$E$10:$AY$39,MATCH('Comparison with group'!$I$2,'Data table'!$C$10:$C$39,0),MATCH($B10,'Data table'!$P$7:$R$7,0)),0,20),"")</f>
        <v/>
      </c>
      <c r="G10" s="16">
        <f>SUM('Data table'!P$10:P$39)</f>
        <v>153863.85500000004</v>
      </c>
      <c r="H10" s="16">
        <f>SUM('Data table'!S$10:S$39)</f>
        <v>173268.01199999993</v>
      </c>
      <c r="I10" s="13">
        <f>IFERROR(H10/SUM('Data table'!$AB$10:$AB$39),"")</f>
        <v>0.1837100721024276</v>
      </c>
      <c r="J10" s="13">
        <f>IFERROR(G10/SUM('Data table'!$AB$10:$AB$39),"")</f>
        <v>0.16313651648526725</v>
      </c>
      <c r="K10" s="16" t="str">
        <f>IF($K$5="","",SUMIFS('Data table'!P$10:P$39,'Data table'!$D$10:$D$39,'Comparison with group'!$K$5:$N$5))</f>
        <v/>
      </c>
      <c r="L10" s="16" t="str">
        <f>IF(K5="","",SUMIFS('Data table'!S$10:S$39,'Data table'!$D$10:$D$39,$K$5))</f>
        <v/>
      </c>
      <c r="M10" s="13" t="str">
        <f>IFERROR(L10/SUMIFS('Data table'!$AB$10:$AB$39,'Data table'!$D$10:$D$39,$K$5),"")</f>
        <v/>
      </c>
      <c r="N10" s="13" t="str">
        <f>IFERROR(K10/SUMIFS('Data table'!$AB$10:$AB$39,'Data table'!$D$10:$D$39,$K$5),"")</f>
        <v/>
      </c>
      <c r="O10" s="54">
        <v>7.0000000000000007E-2</v>
      </c>
      <c r="P10" s="129"/>
    </row>
    <row r="11" spans="1:18" x14ac:dyDescent="0.25">
      <c r="B11" s="27" t="str">
        <f>'Data table'!Q7</f>
        <v>2-й</v>
      </c>
      <c r="C11" s="16" t="str">
        <f ca="1">IFERROR(OFFSET(INDEX('Data table'!$E$10:$AY$39,MATCH('Comparison with group'!$I$2,'Data table'!$C$10:$C$39,0),MATCH($B11,'Data table'!$P$7:$R$7,0)),0,11),"")</f>
        <v/>
      </c>
      <c r="D11" s="16" t="str">
        <f ca="1">IFERROR(OFFSET(INDEX('Data table'!$E$10:$AY$39,MATCH('Comparison with group'!$I$2,'Data table'!$C$10:$C$39,0),MATCH($B11,'Data table'!$P$7:$R$7,0)),0,14),"")</f>
        <v/>
      </c>
      <c r="E11" s="13" t="str">
        <f ca="1">IFERROR(OFFSET(INDEX('Data table'!$E$10:$AY$39,MATCH('Comparison with group'!$I$2,'Data table'!$C$10:$C$39,0),MATCH($B11,'Data table'!$P$7:$R$7,0)),0,17),"")</f>
        <v/>
      </c>
      <c r="F11" s="13" t="str">
        <f ca="1">IFERROR(OFFSET(INDEX('Data table'!$E$10:$AY$39,MATCH('Comparison with group'!$I$2,'Data table'!$C$10:$C$39,0),MATCH($B11,'Data table'!$P$7:$R$7,0)),0,20),"")</f>
        <v/>
      </c>
      <c r="G11" s="16">
        <f>SUM('Data table'!Q$10:Q$39)</f>
        <v>184358.76499999996</v>
      </c>
      <c r="H11" s="16">
        <f>SUM('Data table'!T$10:T$39)</f>
        <v>202717.28899999993</v>
      </c>
      <c r="I11" s="13">
        <f>IFERROR(H11/SUM('Data table'!$AC$10:$AC$39),"")</f>
        <v>0.19004799120704668</v>
      </c>
      <c r="J11" s="13">
        <f>IFERROR(G11/SUM('Data table'!$AC$10:$AC$39),"")</f>
        <v>0.17283682670826359</v>
      </c>
      <c r="K11" s="16" t="str">
        <f>IF($K$5="","",SUMIFS('Data table'!Q$10:Q$39,'Data table'!$D$10:$D$39,'Comparison with group'!$K$5:$N$5))</f>
        <v/>
      </c>
      <c r="L11" s="16" t="str">
        <f>IF(K5="","",SUMIFS('Data table'!T$10:T$39,'Data table'!$D$10:$D$39,$K$5))</f>
        <v/>
      </c>
      <c r="M11" s="13" t="str">
        <f>IFERROR(L11/SUMIFS('Data table'!$AC$10:$AC$39,'Data table'!$D$10:$D$39,$K$5),"")</f>
        <v/>
      </c>
      <c r="N11" s="13" t="str">
        <f>IFERROR(K11/SUMIFS('Data table'!$AC$10:$AC$39,'Data table'!$D$10:$D$39,$K$5),"")</f>
        <v/>
      </c>
      <c r="O11" s="54">
        <v>7.0000000000000007E-2</v>
      </c>
      <c r="P11" s="129"/>
    </row>
    <row r="12" spans="1:18" x14ac:dyDescent="0.25">
      <c r="B12" s="24" t="str">
        <f>'Data table'!R7</f>
        <v>3-й</v>
      </c>
      <c r="C12" s="16" t="str">
        <f ca="1">IFERROR(OFFSET(INDEX('Data table'!$E$10:$AY$39,MATCH('Comparison with group'!$I$2,'Data table'!$C$10:$C$39,0),MATCH($B12,'Data table'!$P$7:$R$7,0)),0,11),"")</f>
        <v/>
      </c>
      <c r="D12" s="16" t="str">
        <f ca="1">IFERROR(OFFSET(INDEX('Data table'!$E$10:$AY$39,MATCH('Comparison with group'!$I$2,'Data table'!$C$10:$C$39,0),MATCH($B12,'Data table'!$P$7:$R$7,0)),0,14),"")</f>
        <v/>
      </c>
      <c r="E12" s="13" t="str">
        <f ca="1">IFERROR(OFFSET(INDEX('Data table'!$E$10:$AY$39,MATCH('Comparison with group'!$I$2,'Data table'!$C$10:$C$39,0),MATCH($B12,'Data table'!$P$7:$R$7,0)),0,17),"")</f>
        <v/>
      </c>
      <c r="F12" s="13" t="str">
        <f ca="1">IFERROR(OFFSET(INDEX('Data table'!$E$10:$AY$39,MATCH('Comparison with group'!$I$2,'Data table'!$C$10:$C$39,0),MATCH($B12,'Data table'!$P$7:$R$7,0)),0,20),"")</f>
        <v/>
      </c>
      <c r="G12" s="16">
        <f>SUM('Data table'!R$10:R$39)</f>
        <v>204577.84800000009</v>
      </c>
      <c r="H12" s="16">
        <f>SUM('Data table'!U$10:U$39)</f>
        <v>222150.80900000004</v>
      </c>
      <c r="I12" s="13">
        <f>IFERROR(H12/SUM('Data table'!$AD$10:$AD$39),"")</f>
        <v>0.20894380857207717</v>
      </c>
      <c r="J12" s="13">
        <f>IFERROR(G12/SUM('Data table'!$AD$10:$AD$39),"")</f>
        <v>0.19241557076931243</v>
      </c>
      <c r="K12" s="16" t="str">
        <f>IF($K$5="","",SUMIFS('Data table'!R$10:R$39,'Data table'!$D$10:$D$39,'Comparison with group'!$K$5:$N$5))</f>
        <v/>
      </c>
      <c r="L12" s="16" t="str">
        <f>IF(K5="","",SUMIFS('Data table'!U$10:U$39,'Data table'!$D$10:$D$39,$K$5))</f>
        <v/>
      </c>
      <c r="M12" s="13" t="str">
        <f>IFERROR(L12/SUMIFS('Data table'!$AD$10:$AD$39,'Data table'!$D$10:$D$39,$K$5),"")</f>
        <v/>
      </c>
      <c r="N12" s="13" t="str">
        <f>IFERROR(K12/SUMIFS('Data table'!$AD$10:$AD$39,'Data table'!$D$10:$D$39,$K$5),"")</f>
        <v/>
      </c>
      <c r="O12" s="54">
        <v>7.0000000000000007E-2</v>
      </c>
      <c r="P12" s="129"/>
    </row>
    <row r="13" spans="1:18" ht="13.25" customHeight="1" x14ac:dyDescent="0.25">
      <c r="B13" s="53" t="str">
        <f>IF($O$1="ENG","Forecast year","Прогнозний рік")</f>
        <v>Прогнозний рік</v>
      </c>
      <c r="C13" s="147" t="str">
        <f>IF($O$1="ENG","Adverse scenario","За несприятливим макроекономічним сценарієм")</f>
        <v>За несприятливим макроекономічним сценарієм</v>
      </c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9"/>
    </row>
    <row r="14" spans="1:18" ht="14.4" customHeight="1" x14ac:dyDescent="0.25">
      <c r="B14" s="24" t="str">
        <f>B10</f>
        <v>1-й</v>
      </c>
      <c r="C14" s="16" t="str">
        <f ca="1">IFERROR(OFFSET(INDEX('Data table'!$E$10:$AY$39,MATCH('Comparison with group'!$I$2,'Data table'!$C$10:$C$39,0),MATCH($B14,'Data table'!$P$7:$R$7,0)),0,26),"")</f>
        <v/>
      </c>
      <c r="D14" s="16" t="str">
        <f ca="1">IFERROR(OFFSET(INDEX('Data table'!$E$10:$AY$39,MATCH('Comparison with group'!$I$2,'Data table'!$C$10:$C$39,0),MATCH($B14,'Data table'!$P$7:$R$7,0)),0,29),"")</f>
        <v/>
      </c>
      <c r="E14" s="13" t="str">
        <f ca="1">IFERROR(OFFSET(INDEX('Data table'!$E$10:$AY$39,MATCH('Comparison with group'!$I$2,'Data table'!$C$10:$C$39,0),MATCH($B14,'Data table'!$P$7:$R$7,0)),0,32),"")</f>
        <v/>
      </c>
      <c r="F14" s="13" t="str">
        <f ca="1">IFERROR(OFFSET(INDEX('Data table'!$E$10:$AY$39,MATCH('Comparison with group'!$I$2,'Data table'!$C$10:$C$39,0),MATCH($B14,'Data table'!$P$7:$R$7,0)),0,35),"")</f>
        <v/>
      </c>
      <c r="G14" s="16">
        <f>SUM('Data table'!AE$10:AE$39)</f>
        <v>99559.863999999958</v>
      </c>
      <c r="H14" s="16">
        <f>SUM('Data table'!AH$10:AH$39)</f>
        <v>116621.24900000003</v>
      </c>
      <c r="I14" s="13">
        <f>IFERROR(H14/SUM('Data table'!$AQ$10:$AQ$39),"")</f>
        <v>0.11984104367830584</v>
      </c>
      <c r="J14" s="13">
        <f>IFERROR(G14/SUM('Data table'!$AQ$10:$AQ$39),"")</f>
        <v>0.1023086111025117</v>
      </c>
      <c r="K14" s="16" t="str">
        <f>IF(K5="","",SUMIFS('Data table'!AE$10:AE$39,'Data table'!$D$10:$D$39,'Comparison with group'!$K$5:$N$5))</f>
        <v/>
      </c>
      <c r="L14" s="16" t="str">
        <f>IF(K5="","",SUMIFS('Data table'!AH$10:AH$39,'Data table'!$D$10:$D$39,$K$5))</f>
        <v/>
      </c>
      <c r="M14" s="13" t="str">
        <f>IFERROR(L14/SUMIFS('Data table'!$AQ$10:$AQ$39,'Data table'!$D$10:$D$39,$K$5),"")</f>
        <v/>
      </c>
      <c r="N14" s="13" t="str">
        <f>IFERROR(K14/SUMIFS('Data table'!$AQ$10:$AQ$39,'Data table'!$D$10:$D$39,$K$5),"")</f>
        <v/>
      </c>
      <c r="O14" s="13">
        <f>O10/2</f>
        <v>3.5000000000000003E-2</v>
      </c>
      <c r="P14" s="129"/>
    </row>
    <row r="15" spans="1:18" x14ac:dyDescent="0.25">
      <c r="B15" s="24" t="str">
        <f>B11</f>
        <v>2-й</v>
      </c>
      <c r="C15" s="16" t="str">
        <f ca="1">IFERROR(OFFSET(INDEX('Data table'!$E$10:$AY$39,MATCH('Comparison with group'!$I$2,'Data table'!$C$10:$C$39,0),MATCH($B15,'Data table'!$P$7:$R$7,0)),0,26),"")</f>
        <v/>
      </c>
      <c r="D15" s="16" t="str">
        <f ca="1">IFERROR(OFFSET(INDEX('Data table'!$E$10:$AY$39,MATCH('Comparison with group'!$I$2,'Data table'!$C$10:$C$39,0),MATCH($B15,'Data table'!$P$7:$R$7,0)),0,29),"")</f>
        <v/>
      </c>
      <c r="E15" s="13" t="str">
        <f ca="1">IFERROR(OFFSET(INDEX('Data table'!$E$10:$AY$39,MATCH('Comparison with group'!$I$2,'Data table'!$C$10:$C$39,0),MATCH($B15,'Data table'!$P$7:$R$7,0)),0,32),"")</f>
        <v/>
      </c>
      <c r="F15" s="13" t="str">
        <f ca="1">IFERROR(OFFSET(INDEX('Data table'!$E$10:$AY$39,MATCH('Comparison with group'!$I$2,'Data table'!$C$10:$C$39,0),MATCH($B15,'Data table'!$P$7:$R$7,0)),0,35),"")</f>
        <v/>
      </c>
      <c r="G15" s="16">
        <f>SUM('Data table'!AF$10:AF$39)</f>
        <v>92271.23</v>
      </c>
      <c r="H15" s="16">
        <f>SUM('Data table'!AI$10:AI$39)</f>
        <v>107281.85700000002</v>
      </c>
      <c r="I15" s="13">
        <f>IFERROR(H15/SUM('Data table'!$AR$10:$AR$39),"")</f>
        <v>9.8276566013771771E-2</v>
      </c>
      <c r="J15" s="13">
        <f>IFERROR(G15/SUM('Data table'!$AR$10:$AR$39),"")</f>
        <v>8.4525938307228557E-2</v>
      </c>
      <c r="K15" s="16" t="str">
        <f>IF(K5="","",SUMIFS('Data table'!AF$10:AF$39,'Data table'!$D$10:$D$39,'Comparison with group'!$K$5:$N$5))</f>
        <v/>
      </c>
      <c r="L15" s="16" t="str">
        <f>IF(K5="","",SUMIFS('Data table'!AI$10:AI$39,'Data table'!$D$10:$D$39,$K$5))</f>
        <v/>
      </c>
      <c r="M15" s="13" t="str">
        <f>IFERROR(L15/SUMIFS('Data table'!$AR$10:$AR$39,'Data table'!$D$10:$D$39,$K$5),"")</f>
        <v/>
      </c>
      <c r="N15" s="13" t="str">
        <f>IFERROR(K15/SUMIFS('Data table'!$AR$10:$AR$39,'Data table'!$D$10:$D$39,$K$5),"")</f>
        <v/>
      </c>
      <c r="O15" s="13">
        <f>O11/2</f>
        <v>3.5000000000000003E-2</v>
      </c>
      <c r="P15" s="129"/>
    </row>
    <row r="16" spans="1:18" x14ac:dyDescent="0.25">
      <c r="B16" s="24" t="str">
        <f>B12</f>
        <v>3-й</v>
      </c>
      <c r="C16" s="16" t="str">
        <f ca="1">IFERROR(OFFSET(INDEX('Data table'!$E$10:$AY$39,MATCH('Comparison with group'!$I$2,'Data table'!$C$10:$C$39,0),MATCH($B16,'Data table'!$P$7:$R$7,0)),0,26),"")</f>
        <v/>
      </c>
      <c r="D16" s="16" t="str">
        <f ca="1">IFERROR(OFFSET(INDEX('Data table'!$E$10:$AY$39,MATCH('Comparison with group'!$I$2,'Data table'!$C$10:$C$39,0),MATCH($B16,'Data table'!$P$7:$R$7,0)),0,29),"")</f>
        <v/>
      </c>
      <c r="E16" s="13" t="str">
        <f ca="1">IFERROR(OFFSET(INDEX('Data table'!$E$10:$AY$39,MATCH('Comparison with group'!$I$2,'Data table'!$C$10:$C$39,0),MATCH($B16,'Data table'!$P$7:$R$7,0)),0,32),"")</f>
        <v/>
      </c>
      <c r="F16" s="13" t="str">
        <f ca="1">IFERROR(OFFSET(INDEX('Data table'!$E$10:$AY$39,MATCH('Comparison with group'!$I$2,'Data table'!$C$10:$C$39,0),MATCH($B16,'Data table'!$P$7:$R$7,0)),0,35),"")</f>
        <v/>
      </c>
      <c r="G16" s="16">
        <f>SUM('Data table'!AG$10:AG$39)</f>
        <v>84559.997000000003</v>
      </c>
      <c r="H16" s="16">
        <f>SUM('Data table'!AJ$10:AJ$39)</f>
        <v>97803.09</v>
      </c>
      <c r="I16" s="13">
        <f>IFERROR(H16/SUM('Data table'!$AS$10:$AS$39),"")</f>
        <v>8.7793193867057084E-2</v>
      </c>
      <c r="J16" s="13">
        <f>IFERROR(G16/SUM('Data table'!$AS$10:$AS$39),"")</f>
        <v>7.5905497566782054E-2</v>
      </c>
      <c r="K16" s="16" t="str">
        <f>IF(K5="","",SUMIFS('Data table'!AG$10:AG$39,'Data table'!$D$10:$D$39,'Comparison with group'!$K$5:$N$5))</f>
        <v/>
      </c>
      <c r="L16" s="16" t="str">
        <f>IF(K5="","",SUMIFS('Data table'!AJ$10:AJ$39,'Data table'!$D$10:$D$39,$K$5))</f>
        <v/>
      </c>
      <c r="M16" s="13" t="str">
        <f>IFERROR(L16/SUMIFS('Data table'!$AS$10:$AS$39,'Data table'!$D$10:$D$39,$K$5),"")</f>
        <v/>
      </c>
      <c r="N16" s="13" t="str">
        <f>IFERROR(K16/SUMIFS('Data table'!$AS$10:$AS$39,'Data table'!$D$10:$D$39,$K$5),"")</f>
        <v/>
      </c>
      <c r="O16" s="13">
        <f>O12/2</f>
        <v>3.5000000000000003E-2</v>
      </c>
      <c r="P16" s="129"/>
    </row>
    <row r="17" spans="2:15" ht="10.25" customHeight="1" x14ac:dyDescent="0.25">
      <c r="B17" s="57" t="str">
        <f>'Individual banks'!$B$13</f>
        <v>AQR -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v>
      </c>
    </row>
    <row r="18" spans="2:15" ht="9.65" customHeight="1" x14ac:dyDescent="0.25">
      <c r="B18" s="57" t="str">
        <f>IF($O$1="ENG","","ОК - основний капітал, РК - регулятивний капітал, Н2 - норматив достатності (адекватності) регулятивного капіталу, Н3 - норматив достатності (адекватності) основного капіталу.")</f>
        <v>ОК - основний капітал, РК - регулятивний капітал, Н2 - норматив достатності (адекватності) регулятивного капіталу, Н3 - норматив достатності (адекватності) основного капіталу.</v>
      </c>
    </row>
    <row r="19" spans="2:15" ht="20.399999999999999" customHeight="1" x14ac:dyDescent="0.25"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</row>
    <row r="20" spans="2:15" ht="13.25" customHeight="1" x14ac:dyDescent="0.25">
      <c r="C20" s="146" t="str">
        <f>IF($O$1="ENG","Core capital ratio under baseline scenario","Норматив достатності основного капіталу Н3 за базовим сценарієм")</f>
        <v>Норматив достатності основного капіталу Н3 за базовим сценарієм</v>
      </c>
      <c r="D20" s="146"/>
      <c r="E20" s="146"/>
      <c r="F20" s="146"/>
      <c r="H20" s="146" t="str">
        <f>IF($O$1="ENG","Core capital ratio under adverse scenario","Норматив достатності основного капіталу Н3 за несприятливим сценарієм")</f>
        <v>Норматив достатності основного капіталу Н3 за несприятливим сценарієм</v>
      </c>
      <c r="I20" s="146"/>
      <c r="J20" s="146"/>
      <c r="K20" s="146"/>
    </row>
    <row r="21" spans="2:15" x14ac:dyDescent="0.25">
      <c r="C21" s="146"/>
      <c r="D21" s="146"/>
      <c r="E21" s="146"/>
      <c r="F21" s="146"/>
      <c r="H21" s="146"/>
      <c r="I21" s="146"/>
      <c r="J21" s="146"/>
      <c r="K21" s="146"/>
      <c r="O21" s="50"/>
    </row>
    <row r="36" spans="2:2" x14ac:dyDescent="0.25">
      <c r="B36" s="60"/>
    </row>
    <row r="37" spans="2:2" x14ac:dyDescent="0.25">
      <c r="B37" s="60"/>
    </row>
    <row r="38" spans="2:2" x14ac:dyDescent="0.25">
      <c r="B38" s="60" t="str">
        <f>IF($O$1="ENG","Hurdle rate of core capital ratio under baseline scenario","Нормативне значення Н3 за базового сценарію")</f>
        <v>Нормативне значення Н3 за базового сценарію</v>
      </c>
    </row>
    <row r="39" spans="2:2" x14ac:dyDescent="0.25">
      <c r="B39" s="60" t="str">
        <f>IF($O$1="ENG","Hurdle rate of core capital ratio under adverse scenario","Нормативне значення Н3 за несприятливого сценарію")</f>
        <v>Нормативне значення Н3 за несприятливого сценарію</v>
      </c>
    </row>
    <row r="40" spans="2:2" x14ac:dyDescent="0.25">
      <c r="B40" s="60"/>
    </row>
    <row r="41" spans="2:2" x14ac:dyDescent="0.25">
      <c r="B41" s="60"/>
    </row>
    <row r="42" spans="2:2" x14ac:dyDescent="0.25">
      <c r="B42" s="60"/>
    </row>
    <row r="43" spans="2:2" x14ac:dyDescent="0.25">
      <c r="B43" s="60"/>
    </row>
  </sheetData>
  <mergeCells count="10">
    <mergeCell ref="C13:O13"/>
    <mergeCell ref="O5:O6"/>
    <mergeCell ref="C20:F21"/>
    <mergeCell ref="H20:K21"/>
    <mergeCell ref="B5:B6"/>
    <mergeCell ref="C5:F5"/>
    <mergeCell ref="K5:N5"/>
    <mergeCell ref="G5:J5"/>
    <mergeCell ref="C9:O9"/>
    <mergeCell ref="B19:O19"/>
  </mergeCells>
  <conditionalFormatting sqref="I2">
    <cfRule type="containsBlanks" dxfId="2" priority="1">
      <formula>LEN(TRIM(I2))=0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4">
              <controlPr defaultSize="0" autoLine="0" autoPict="0">
                <anchor moveWithCells="1">
                  <from>
                    <xdr:col>6</xdr:col>
                    <xdr:colOff>825500</xdr:colOff>
                    <xdr:row>0</xdr:row>
                    <xdr:rowOff>158750</xdr:rowOff>
                  </from>
                  <to>
                    <xdr:col>10</xdr:col>
                    <xdr:colOff>82550</xdr:colOff>
                    <xdr:row>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Drop Down 5">
              <controlPr defaultSize="0" autoLine="0" autoPict="0">
                <anchor moveWithCells="1">
                  <from>
                    <xdr:col>13</xdr:col>
                    <xdr:colOff>539750</xdr:colOff>
                    <xdr:row>0</xdr:row>
                    <xdr:rowOff>6350</xdr:rowOff>
                  </from>
                  <to>
                    <xdr:col>15</xdr:col>
                    <xdr:colOff>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Аркуш5"/>
  <dimension ref="A1:P21"/>
  <sheetViews>
    <sheetView zoomScale="80" zoomScaleNormal="80" workbookViewId="0">
      <selection activeCell="M9" sqref="M9"/>
    </sheetView>
  </sheetViews>
  <sheetFormatPr defaultColWidth="8.90625" defaultRowHeight="12.5" x14ac:dyDescent="0.25"/>
  <cols>
    <col min="1" max="1" width="3.6328125" style="1" customWidth="1"/>
    <col min="2" max="2" width="25.36328125" style="1" customWidth="1"/>
    <col min="3" max="3" width="25.81640625" style="1" customWidth="1"/>
    <col min="4" max="4" width="22.1796875" style="1" customWidth="1"/>
    <col min="5" max="5" width="9.54296875" style="1" customWidth="1"/>
    <col min="6" max="6" width="20" style="1" customWidth="1"/>
    <col min="7" max="7" width="16.36328125" style="1" customWidth="1"/>
    <col min="8" max="8" width="9.36328125" style="1" customWidth="1"/>
    <col min="9" max="9" width="8.453125" style="1" customWidth="1"/>
    <col min="10" max="10" width="20.453125" style="1" customWidth="1"/>
    <col min="11" max="11" width="7.6328125" style="1" customWidth="1"/>
    <col min="12" max="12" width="21.1796875" style="1" customWidth="1"/>
    <col min="13" max="13" width="24.54296875" style="1" customWidth="1"/>
    <col min="14" max="16384" width="8.90625" style="1"/>
  </cols>
  <sheetData>
    <row r="1" spans="1:16" ht="13" x14ac:dyDescent="0.3">
      <c r="L1" s="36"/>
      <c r="M1" s="56" t="str">
        <f>'Individual banks'!K1</f>
        <v>UA</v>
      </c>
      <c r="N1" s="62" t="str">
        <f>IF($M$1="ENG","Змінити мову тут","Change language here")</f>
        <v>Change language here</v>
      </c>
    </row>
    <row r="2" spans="1:16" ht="13" x14ac:dyDescent="0.3">
      <c r="B2" s="5" t="str">
        <f>IF($M$1="ENG","Capital requirements based on stress test results","Вимоги до капіталу за результатами стрес-тестування")</f>
        <v>Вимоги до капіталу за результатами стрес-тестування</v>
      </c>
      <c r="E2" s="2"/>
      <c r="H2" s="6"/>
      <c r="I2" s="6"/>
      <c r="J2" s="6"/>
      <c r="K2" s="6"/>
      <c r="L2" s="6"/>
      <c r="M2" s="6"/>
    </row>
    <row r="3" spans="1:16" ht="13" x14ac:dyDescent="0.25">
      <c r="F3" s="31"/>
      <c r="G3" s="31"/>
      <c r="H3" s="31"/>
      <c r="I3" s="31"/>
      <c r="J3" s="31"/>
      <c r="K3" s="31"/>
      <c r="M3" s="32" t="str">
        <f>IF($M$1="ENG","(UAH mln)","(млн грн)")</f>
        <v>(млн грн)</v>
      </c>
      <c r="N3" s="6"/>
    </row>
    <row r="4" spans="1:16" ht="38.4" customHeight="1" x14ac:dyDescent="0.25">
      <c r="B4" s="6"/>
      <c r="C4" s="6"/>
      <c r="D4" s="6"/>
      <c r="E4" s="81">
        <v>31</v>
      </c>
      <c r="F4" s="79" t="e">
        <f>INDEX('Data table'!$C$10:$C$39,E4,1)</f>
        <v>#REF!</v>
      </c>
      <c r="G4" s="80">
        <v>31</v>
      </c>
      <c r="H4" s="79" t="e">
        <f>INDEX('Data table'!$C$10:$C$39,G4,1)</f>
        <v>#REF!</v>
      </c>
      <c r="I4" s="80">
        <v>31</v>
      </c>
      <c r="J4" s="79" t="e">
        <f>INDEX('Data table'!$C$10:$C$39,I4,1)</f>
        <v>#REF!</v>
      </c>
      <c r="K4" s="80">
        <v>31</v>
      </c>
      <c r="L4" s="85" t="e">
        <f>INDEX('Data table'!$C$10:$C$39,K4,1)</f>
        <v>#REF!</v>
      </c>
      <c r="M4" s="74" t="str">
        <f>IF($M$1="ENG","All banks under stress test","Усього за банками, що проходили стрес-тестування")</f>
        <v>Усього за банками, що проходили стрес-тестування</v>
      </c>
      <c r="N4" s="6"/>
      <c r="O4" s="6"/>
    </row>
    <row r="5" spans="1:16" ht="14.4" customHeight="1" x14ac:dyDescent="0.25">
      <c r="A5" s="6"/>
      <c r="B5" s="138" t="str">
        <f>IF($M$1="ENG","Required (target) capital adequacy level","Необхідний (цільовий) рівень нормативів")</f>
        <v>Необхідний (цільовий) рівень нормативів</v>
      </c>
      <c r="C5" s="138" t="str">
        <f>IF($M$1="ENG","stress test results","за результатами стрес-тестування")</f>
        <v>за результатами стрес-тестування</v>
      </c>
      <c r="D5" s="78" t="str">
        <f>IF($M$1="ENG","CAR","Н2")</f>
        <v>Н2</v>
      </c>
      <c r="E5" s="152" t="str">
        <f>IFERROR(INDEX('Data table'!$AV$10:$AV$39,MATCH(F$4,'Data table'!$C$10:$C$39,0),1),"")</f>
        <v/>
      </c>
      <c r="F5" s="153"/>
      <c r="G5" s="152" t="str">
        <f>IFERROR(INDEX('Data table'!$AV$10:$AV$39,MATCH(H$4,'Data table'!$C$10:$C$39,0),1),"")</f>
        <v/>
      </c>
      <c r="H5" s="153"/>
      <c r="I5" s="152" t="str">
        <f>IFERROR(INDEX('Data table'!$AV$10:$AV$39,MATCH(J$4,'Data table'!$C$10:$C$39,0),1),"")</f>
        <v/>
      </c>
      <c r="J5" s="153"/>
      <c r="K5" s="152" t="str">
        <f>IFERROR(INDEX('Data table'!$AV$10:$AV$39,MATCH(L$4,'Data table'!$C$10:$C$39,0),1),"")</f>
        <v/>
      </c>
      <c r="L5" s="153"/>
      <c r="M5" s="72">
        <f>SUMPRODUCT('Data table'!$O$10:$O$39,'Data table'!$AV$10:$AV$39)/SUM('Data table'!$O$10:$O$39)</f>
        <v>0.1722735619974694</v>
      </c>
    </row>
    <row r="6" spans="1:16" ht="13.25" customHeight="1" x14ac:dyDescent="0.25">
      <c r="A6" s="6"/>
      <c r="B6" s="139"/>
      <c r="C6" s="140"/>
      <c r="D6" s="77" t="str">
        <f>IF($M$1="ENG","Core capital ratio","Н3")</f>
        <v>Н3</v>
      </c>
      <c r="E6" s="152" t="str">
        <f>IFERROR(INDEX('Data table'!$AW$10:$AW$39,MATCH(F$4,'Data table'!$C$10:$C$39,0),1),"")</f>
        <v/>
      </c>
      <c r="F6" s="153"/>
      <c r="G6" s="152" t="str">
        <f>IFERROR(INDEX('Data table'!$AW$10:$AW$39,MATCH(H$4,'Data table'!$C$10:$C$39,0),1),"")</f>
        <v/>
      </c>
      <c r="H6" s="153"/>
      <c r="I6" s="152" t="str">
        <f>IFERROR(INDEX('Data table'!$AW$10:$AW$39,MATCH(J$4,'Data table'!$C$10:$C$39,0),1),"")</f>
        <v/>
      </c>
      <c r="J6" s="153"/>
      <c r="K6" s="152" t="str">
        <f>IFERROR(INDEX('Data table'!$AW$10:$AW$39,MATCH(L$4,'Data table'!$C$10:$C$39,0),1),"")</f>
        <v/>
      </c>
      <c r="L6" s="153"/>
      <c r="M6" s="17">
        <f>SUMPRODUCT('Data table'!$O$10:$O$39,'Data table'!$AW$10:$AW$39)/SUM('Data table'!$O$10:$O$39)</f>
        <v>0.14986814022080291</v>
      </c>
      <c r="N6" s="6"/>
    </row>
    <row r="7" spans="1:16" ht="21" customHeight="1" x14ac:dyDescent="0.25">
      <c r="A7" s="6"/>
      <c r="B7" s="139"/>
      <c r="C7" s="154" t="str">
        <f>IF($M$1="ENG","after measures taken and planned by banks*, %","з урахуванням здійснених та запланованих банком заходів*, %")</f>
        <v>з урахуванням здійснених та запланованих банком заходів*, %</v>
      </c>
      <c r="D7" s="78" t="str">
        <f>IF($M$1="ENG","CAR","Н2")</f>
        <v>Н2</v>
      </c>
      <c r="E7" s="152" t="str">
        <f>IFERROR(INDEX('Data table'!$AX$10:$AX$39,MATCH(F$4,'Data table'!$C$10:$C$39,0),1),"")</f>
        <v/>
      </c>
      <c r="F7" s="153"/>
      <c r="G7" s="152" t="str">
        <f>IFERROR(INDEX('Data table'!$AX$10:$AX$39,MATCH(H$4,'Data table'!$C$10:$C$39,0),1),"")</f>
        <v/>
      </c>
      <c r="H7" s="153"/>
      <c r="I7" s="152" t="str">
        <f>IFERROR(INDEX('Data table'!$AX$10:$AX$39,MATCH(J$4,'Data table'!$C$10:$C$39,0),1),"")</f>
        <v/>
      </c>
      <c r="J7" s="153"/>
      <c r="K7" s="152" t="str">
        <f>IFERROR(INDEX('Data table'!$AX$10:$AX$39,MATCH(L$4,'Data table'!$C$10:$C$39,0),1),"")</f>
        <v/>
      </c>
      <c r="L7" s="153"/>
      <c r="M7" s="72">
        <f>SUMPRODUCT('Data table'!$O$10:$O$39,'Data table'!$AX$10:$AX$39)/SUM('Data table'!$O$10:$O$39)</f>
        <v>0.11155040039175218</v>
      </c>
      <c r="N7" s="29"/>
    </row>
    <row r="8" spans="1:16" ht="17" customHeight="1" x14ac:dyDescent="0.25">
      <c r="A8" s="6"/>
      <c r="B8" s="139"/>
      <c r="C8" s="155"/>
      <c r="D8" s="77" t="str">
        <f>IF($M$1="ENG","Core capital ratio","Н3")</f>
        <v>Н3</v>
      </c>
      <c r="E8" s="152" t="str">
        <f>IFERROR(INDEX('Data table'!$AY$10:$AY$39,MATCH(F$4,'Data table'!$C$10:$C$39,0),1),"")</f>
        <v/>
      </c>
      <c r="F8" s="153"/>
      <c r="G8" s="152" t="str">
        <f>IFERROR(INDEX('Data table'!$AY$10:$AY$39,MATCH(H$4,'Data table'!$C$10:$C$39,0),1),"")</f>
        <v/>
      </c>
      <c r="H8" s="153"/>
      <c r="I8" s="152" t="str">
        <f>IFERROR(INDEX('Data table'!$AY$10:$AY$39,MATCH(J$4,'Data table'!$C$10:$C$39,0),1),"")</f>
        <v/>
      </c>
      <c r="J8" s="153"/>
      <c r="K8" s="152" t="str">
        <f>IFERROR(INDEX('Data table'!$AY$10:$AY$39,MATCH(L$4,'Data table'!$C$10:$C$39,0),1),"")</f>
        <v/>
      </c>
      <c r="L8" s="153"/>
      <c r="M8" s="17">
        <f>SUMPRODUCT('Data table'!$O$10:$O$39,'Data table'!$AY$10:$AY$39)/SUM('Data table'!$O$10:$O$39)</f>
        <v>8.2539474150357908E-2</v>
      </c>
      <c r="N8" s="29"/>
    </row>
    <row r="9" spans="1:16" ht="13.25" customHeight="1" x14ac:dyDescent="0.25">
      <c r="C9" s="156" t="str">
        <f>IF(M$1="ENG","Actual capital adequacy levels as of 1 Dec 2021","Фактичний рівень нормативів на 01.12.2021 р.")</f>
        <v>Фактичний рівень нормативів на 01.12.2021 р.</v>
      </c>
      <c r="D9" s="82" t="str">
        <f>IF($M$1="ENG","CAR","Н2")</f>
        <v>Н2</v>
      </c>
      <c r="E9" s="152" t="str">
        <f>IFERROR(INDEX('Data table'!$AZ$10:$AZ$39,MATCH(F$4,'Data table'!$C$10:$C$39,0),1),"")</f>
        <v/>
      </c>
      <c r="F9" s="153"/>
      <c r="G9" s="152" t="str">
        <f>IFERROR(INDEX('Data table'!$AZ$10:$AZ$39,MATCH(H$4,'Data table'!$C$10:$C$39,0),1),"")</f>
        <v/>
      </c>
      <c r="H9" s="153"/>
      <c r="I9" s="152" t="str">
        <f>IFERROR(INDEX('Data table'!$AZ$10:$AZ$39,MATCH(J$4,'Data table'!$C$10:$C$39,0),1),"")</f>
        <v/>
      </c>
      <c r="J9" s="153"/>
      <c r="K9" s="152" t="str">
        <f>IFERROR(INDEX('Data table'!$AZ$10:$AZ$39,MATCH(L$4,'Data table'!$C$10:$C$39,0),1),"")</f>
        <v/>
      </c>
      <c r="L9" s="153"/>
      <c r="M9" s="38"/>
      <c r="N9" s="6"/>
      <c r="O9" s="6"/>
    </row>
    <row r="10" spans="1:16" ht="13.25" customHeight="1" x14ac:dyDescent="0.25">
      <c r="C10" s="157"/>
      <c r="D10" s="83" t="str">
        <f>IF($M$1="ENG","Core capital ratio","Н3")</f>
        <v>Н3</v>
      </c>
      <c r="E10" s="152" t="str">
        <f>IFERROR(INDEX('Data table'!$BA$10:$BA$39,MATCH(F$4,'Data table'!$C$10:$C$39,0),1),"")</f>
        <v/>
      </c>
      <c r="F10" s="153"/>
      <c r="G10" s="152" t="str">
        <f>IFERROR(INDEX('Data table'!$BA$10:$BA$39,MATCH(H$4,'Data table'!$C$10:$C$39,0),1),"")</f>
        <v/>
      </c>
      <c r="H10" s="153"/>
      <c r="I10" s="152" t="str">
        <f>IFERROR(INDEX('Data table'!$BA$10:$BA$39,MATCH(J$4,'Data table'!$C$10:$C$39,0),1),"")</f>
        <v/>
      </c>
      <c r="J10" s="153"/>
      <c r="K10" s="152" t="str">
        <f>IFERROR(INDEX('Data table'!$BA$10:$BA$39,MATCH(L$4,'Data table'!$C$10:$C$39,0),1),"")</f>
        <v/>
      </c>
      <c r="L10" s="153"/>
    </row>
    <row r="11" spans="1:16" x14ac:dyDescent="0.25">
      <c r="B11" s="1" t="str">
        <f>'Data table'!$A$44</f>
        <v>*Відповідно до погоджених НБУ програм реструктуризації/капіталізації до 30.06.2022, в тому числі без урахування впливу ринкового та кредитного ризику за державними цінними паперами</v>
      </c>
    </row>
    <row r="12" spans="1:16" ht="31.25" customHeight="1" x14ac:dyDescent="0.25">
      <c r="B12" s="151" t="str">
        <f>IFERROR(IF(OR(COUNTIF($C$4:$P$4,"Альфа-Банк**")&gt;0,COUNTIF($C$4:$P$4,"Укрсоцбанк**")&gt;0,COUNTIF($C$4:$P$4,"Alfa-Bank**")&gt;0,COUNTIF($C$4:$P$4,"Ukrsotsbank**")&gt;0),'Data table'!$A$45,""),"")</f>
        <v/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84"/>
      <c r="O12" s="84"/>
      <c r="P12" s="84"/>
    </row>
    <row r="13" spans="1:16" ht="54" customHeight="1" x14ac:dyDescent="0.25">
      <c r="A13" s="61" t="str">
        <f>IF($M$1="ENG","Required (target) capital adequacy level before and after taken and planned measures
","Необхідний (цільовий) рівень капіталу
до та після здійснених та запланованих заходів
")</f>
        <v xml:space="preserve">Необхідний (цільовий) рівень капіталу
до та після здійснених та запланованих заходів
</v>
      </c>
      <c r="C13" s="146" t="str">
        <f>IFERROR(CONCATENATE($A$13,$F$4),$A$13)</f>
        <v xml:space="preserve">Необхідний (цільовий) рівень капіталу
до та після здійснених та запланованих заходів
</v>
      </c>
      <c r="D13" s="146"/>
      <c r="E13" s="146" t="str">
        <f>IFERROR(CONCATENATE($A$13,$H$4),$A$13)</f>
        <v xml:space="preserve">Необхідний (цільовий) рівень капіталу
до та після здійснених та запланованих заходів
</v>
      </c>
      <c r="F13" s="146"/>
      <c r="G13" s="146"/>
      <c r="H13" s="146" t="str">
        <f>IFERROR(CONCATENATE($A$13,$J$4),$A$13)</f>
        <v xml:space="preserve">Необхідний (цільовий) рівень капіталу
до та після здійснених та запланованих заходів
</v>
      </c>
      <c r="I13" s="146"/>
      <c r="J13" s="146"/>
      <c r="K13" s="146"/>
      <c r="L13" s="146" t="str">
        <f>IFERROR(CONCATENATE($A$13,$L$4),$A$13)</f>
        <v xml:space="preserve">Необхідний (цільовий) рівень капіталу
до та після здійснених та запланованих заходів
</v>
      </c>
      <c r="M13" s="146"/>
    </row>
    <row r="21" spans="1:1" ht="13" x14ac:dyDescent="0.3">
      <c r="A21" s="65"/>
    </row>
  </sheetData>
  <mergeCells count="33">
    <mergeCell ref="K9:L9"/>
    <mergeCell ref="K10:L10"/>
    <mergeCell ref="C9:C10"/>
    <mergeCell ref="E10:F10"/>
    <mergeCell ref="I7:J7"/>
    <mergeCell ref="G9:H9"/>
    <mergeCell ref="G10:H10"/>
    <mergeCell ref="I9:J9"/>
    <mergeCell ref="I10:J10"/>
    <mergeCell ref="E8:F8"/>
    <mergeCell ref="G8:H8"/>
    <mergeCell ref="I8:J8"/>
    <mergeCell ref="K8:L8"/>
    <mergeCell ref="E9:F9"/>
    <mergeCell ref="K5:L5"/>
    <mergeCell ref="B5:B8"/>
    <mergeCell ref="I5:J5"/>
    <mergeCell ref="C5:C6"/>
    <mergeCell ref="C7:C8"/>
    <mergeCell ref="E7:F7"/>
    <mergeCell ref="G6:H6"/>
    <mergeCell ref="G7:H7"/>
    <mergeCell ref="E5:F5"/>
    <mergeCell ref="E6:F6"/>
    <mergeCell ref="G5:H5"/>
    <mergeCell ref="K6:L6"/>
    <mergeCell ref="K7:L7"/>
    <mergeCell ref="I6:J6"/>
    <mergeCell ref="B12:M12"/>
    <mergeCell ref="C13:D13"/>
    <mergeCell ref="L13:M13"/>
    <mergeCell ref="E13:G13"/>
    <mergeCell ref="H13:K13"/>
  </mergeCells>
  <conditionalFormatting sqref="E5:L5 E7:L7">
    <cfRule type="cellIs" dxfId="1" priority="2" operator="equal">
      <formula>0.1</formula>
    </cfRule>
  </conditionalFormatting>
  <conditionalFormatting sqref="E6:L6 E8:L10">
    <cfRule type="cellIs" dxfId="0" priority="1" operator="equal">
      <formula>0.07</formula>
    </cfRule>
  </conditionalFormatting>
  <pageMargins left="0.7" right="0.7" top="0.75" bottom="0.75" header="0.3" footer="0.3"/>
  <ignoredErrors>
    <ignoredError sqref="D6:D10" formula="1"/>
    <ignoredError sqref="F4 H4 J4 L4" evalError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3" name="Drop Down 4">
              <controlPr defaultSize="0" autoLine="0" autoPict="0">
                <anchor moveWithCells="1">
                  <from>
                    <xdr:col>4</xdr:col>
                    <xdr:colOff>25400</xdr:colOff>
                    <xdr:row>3</xdr:row>
                    <xdr:rowOff>107950</xdr:rowOff>
                  </from>
                  <to>
                    <xdr:col>5</xdr:col>
                    <xdr:colOff>1079500</xdr:colOff>
                    <xdr:row>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4" name="Drop Down 5">
              <controlPr defaultSize="0" autoLine="0" autoPict="0">
                <anchor moveWithCells="1">
                  <from>
                    <xdr:col>6</xdr:col>
                    <xdr:colOff>50800</xdr:colOff>
                    <xdr:row>3</xdr:row>
                    <xdr:rowOff>101600</xdr:rowOff>
                  </from>
                  <to>
                    <xdr:col>7</xdr:col>
                    <xdr:colOff>546100</xdr:colOff>
                    <xdr:row>3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5" name="Drop Down 7">
              <controlPr defaultSize="0" autoLine="0" autoPict="0">
                <anchor moveWithCells="1">
                  <from>
                    <xdr:col>8</xdr:col>
                    <xdr:colOff>50800</xdr:colOff>
                    <xdr:row>3</xdr:row>
                    <xdr:rowOff>101600</xdr:rowOff>
                  </from>
                  <to>
                    <xdr:col>9</xdr:col>
                    <xdr:colOff>1149350</xdr:colOff>
                    <xdr:row>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6" name="Drop Down 8">
              <controlPr defaultSize="0" autoLine="0" autoPict="0">
                <anchor moveWithCells="1">
                  <from>
                    <xdr:col>10</xdr:col>
                    <xdr:colOff>76200</xdr:colOff>
                    <xdr:row>3</xdr:row>
                    <xdr:rowOff>101600</xdr:rowOff>
                  </from>
                  <to>
                    <xdr:col>11</xdr:col>
                    <xdr:colOff>1244600</xdr:colOff>
                    <xdr:row>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7" name="Drop Down 10">
              <controlPr defaultSize="0" autoLine="0" autoPict="0">
                <anchor moveWithCells="1">
                  <from>
                    <xdr:col>12</xdr:col>
                    <xdr:colOff>425450</xdr:colOff>
                    <xdr:row>0</xdr:row>
                    <xdr:rowOff>6350</xdr:rowOff>
                  </from>
                  <to>
                    <xdr:col>12</xdr:col>
                    <xdr:colOff>1536700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Аркуш6"/>
  <dimension ref="A1:BF74"/>
  <sheetViews>
    <sheetView zoomScale="80" zoomScaleNormal="80" workbookViewId="0">
      <pane xSplit="3" ySplit="9" topLeftCell="D40" activePane="bottomRight" state="frozen"/>
      <selection pane="topRight" activeCell="D1" sqref="D1"/>
      <selection pane="bottomLeft" activeCell="A14" sqref="A14"/>
      <selection pane="bottomRight" activeCell="A47" sqref="A47"/>
    </sheetView>
  </sheetViews>
  <sheetFormatPr defaultColWidth="8.90625" defaultRowHeight="12.5" x14ac:dyDescent="0.25"/>
  <cols>
    <col min="1" max="1" width="5.54296875" style="1" customWidth="1"/>
    <col min="2" max="2" width="6.54296875" style="1" customWidth="1"/>
    <col min="3" max="3" width="37.6328125" style="1" customWidth="1"/>
    <col min="4" max="4" width="32.54296875" style="1" customWidth="1"/>
    <col min="5" max="5" width="12.6328125" style="1" customWidth="1"/>
    <col min="6" max="6" width="13.90625" style="1" customWidth="1"/>
    <col min="7" max="7" width="10.453125" style="1" customWidth="1"/>
    <col min="8" max="8" width="8.90625" style="1" customWidth="1"/>
    <col min="9" max="9" width="14" style="1" hidden="1" customWidth="1"/>
    <col min="10" max="10" width="14.54296875" style="1" customWidth="1"/>
    <col min="11" max="12" width="11.36328125" style="1" bestFit="1" customWidth="1"/>
    <col min="13" max="13" width="10.36328125" style="1" customWidth="1"/>
    <col min="14" max="14" width="9" style="1" customWidth="1"/>
    <col min="15" max="15" width="12.81640625" style="1" hidden="1" customWidth="1"/>
    <col min="16" max="21" width="11.36328125" style="1" bestFit="1" customWidth="1"/>
    <col min="22" max="26" width="9" style="1" bestFit="1" customWidth="1"/>
    <col min="27" max="27" width="9" style="1" customWidth="1"/>
    <col min="28" max="28" width="6.6328125" style="1" hidden="1" customWidth="1"/>
    <col min="29" max="29" width="6.90625" style="1" hidden="1" customWidth="1"/>
    <col min="30" max="30" width="5.08984375" style="1" hidden="1" customWidth="1"/>
    <col min="31" max="31" width="10.6328125" style="1" bestFit="1" customWidth="1"/>
    <col min="32" max="33" width="11.36328125" style="1" bestFit="1" customWidth="1"/>
    <col min="34" max="34" width="10.6328125" style="1" bestFit="1" customWidth="1"/>
    <col min="35" max="36" width="11.36328125" style="1" bestFit="1" customWidth="1"/>
    <col min="37" max="37" width="9" style="1" bestFit="1" customWidth="1"/>
    <col min="38" max="38" width="10.54296875" style="1" customWidth="1"/>
    <col min="39" max="39" width="9.6328125" style="1" bestFit="1" customWidth="1"/>
    <col min="40" max="40" width="9" style="1" bestFit="1" customWidth="1"/>
    <col min="41" max="41" width="9.6328125" style="1" bestFit="1" customWidth="1"/>
    <col min="42" max="42" width="9.08984375" style="1" customWidth="1"/>
    <col min="43" max="43" width="6.90625" style="1" hidden="1" customWidth="1"/>
    <col min="44" max="44" width="10.08984375" style="1" hidden="1" customWidth="1"/>
    <col min="45" max="45" width="11.1796875" style="1" hidden="1" customWidth="1"/>
    <col min="46" max="46" width="9.90625" style="1" customWidth="1"/>
    <col min="47" max="47" width="14.36328125" style="1" customWidth="1"/>
    <col min="48" max="49" width="11.453125" style="1" customWidth="1"/>
    <col min="50" max="50" width="12.90625" style="1" customWidth="1"/>
    <col min="51" max="51" width="14.90625" style="1" customWidth="1"/>
    <col min="52" max="53" width="13" style="1" customWidth="1"/>
    <col min="54" max="54" width="11.1796875" style="1" bestFit="1" customWidth="1"/>
    <col min="55" max="55" width="9.36328125" style="1" bestFit="1" customWidth="1"/>
    <col min="56" max="16384" width="8.90625" style="1"/>
  </cols>
  <sheetData>
    <row r="1" spans="1:58" ht="13" x14ac:dyDescent="0.3">
      <c r="J1" s="56" t="str">
        <f>'Individual banks'!K1</f>
        <v>UA</v>
      </c>
      <c r="K1" s="62" t="str">
        <f>IF($J$1="ENG","Змінити мову тут","Change language here")</f>
        <v>Change language here</v>
      </c>
    </row>
    <row r="2" spans="1:58" ht="14.4" customHeight="1" x14ac:dyDescent="0.3">
      <c r="B2" s="49" t="str">
        <f>IF($J$1="ENG","Results of stress test of banks and Ukrainian banking system","Результати стрес-тестування банків та банківської системи України")</f>
        <v>Результати стрес-тестування банків та банківської системи України</v>
      </c>
      <c r="C2" s="48"/>
      <c r="D2" s="33"/>
    </row>
    <row r="3" spans="1:58" x14ac:dyDescent="0.25">
      <c r="C3" s="35"/>
      <c r="D3" s="35"/>
    </row>
    <row r="4" spans="1:58" ht="36" customHeight="1" x14ac:dyDescent="0.25">
      <c r="A4" s="170" t="str">
        <f>IF($J$1="ENG","#","№ з/п")</f>
        <v>№ з/п</v>
      </c>
      <c r="B4" s="170" t="str">
        <f>IF($J$1="ENG","NKB","НКБ")</f>
        <v>НКБ</v>
      </c>
      <c r="C4" s="170" t="str">
        <f>IF($J$1="ENG","Name","Назва")</f>
        <v>Назва</v>
      </c>
      <c r="D4" s="170" t="str">
        <f>IF($J$1="ENG","Group","Група")</f>
        <v>Група</v>
      </c>
      <c r="E4" s="174" t="str">
        <f>IF($J$1="ENG","Bank's data","Дані банку")</f>
        <v>Дані банку</v>
      </c>
      <c r="F4" s="175"/>
      <c r="G4" s="175"/>
      <c r="H4" s="175"/>
      <c r="I4" s="176"/>
      <c r="J4" s="174" t="str">
        <f>IF($J$1="ENG","Asset quality review","Дані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екстраполяції")</f>
        <v>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v>
      </c>
      <c r="K4" s="175"/>
      <c r="L4" s="175"/>
      <c r="M4" s="175"/>
      <c r="N4" s="175"/>
      <c r="O4" s="176"/>
      <c r="P4" s="174" t="str">
        <f>IF($J$1="ENG","Baseline scenario","За базовим макроекономічним сценарієм")</f>
        <v>За базовим макроекономічним сценарієм</v>
      </c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4" t="str">
        <f>IF($J$1="ENG","Adverse scenario","За несприятливим макроекономічним сценарієм")</f>
        <v>За несприятливим макроекономічним сценарієм</v>
      </c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62" t="str">
        <f>IF($J$1="ENG","Required (target) capital adequacy level, baseline scenario","Необхідний (цільовий) рівень нормативів за базовим сценарієм")</f>
        <v>Необхідний (цільовий) рівень нормативів за базовим сценарієм</v>
      </c>
      <c r="AU4" s="164"/>
      <c r="AV4" s="162" t="str">
        <f>IF($J$1="ENG","Required (target) capital adequacy level, adverse scenario","Необхідний (цільовий) рівень нормативів за несприятливим сценарієм")</f>
        <v>Необхідний (цільовий) рівень нормативів за несприятливим сценарієм</v>
      </c>
      <c r="AW4" s="163"/>
      <c r="AX4" s="163"/>
      <c r="AY4" s="164"/>
      <c r="AZ4" s="158" t="str">
        <f>IF($J$1="ENG","Memo: capital adequacy ratios as of 1 Dec 2021","Довідково: нормативи достатності капіталу на 01.12.2021 р.")</f>
        <v>Довідково: нормативи достатності капіталу на 01.12.2021 р.</v>
      </c>
      <c r="BA4" s="158"/>
    </row>
    <row r="5" spans="1:58" ht="36" customHeight="1" x14ac:dyDescent="0.25">
      <c r="A5" s="170"/>
      <c r="B5" s="170"/>
      <c r="C5" s="170"/>
      <c r="D5" s="170"/>
      <c r="E5" s="177"/>
      <c r="F5" s="178"/>
      <c r="G5" s="178"/>
      <c r="H5" s="178"/>
      <c r="I5" s="179"/>
      <c r="J5" s="177"/>
      <c r="K5" s="178"/>
      <c r="L5" s="178"/>
      <c r="M5" s="178"/>
      <c r="N5" s="178"/>
      <c r="O5" s="179"/>
      <c r="P5" s="177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7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78"/>
      <c r="AS5" s="178"/>
      <c r="AT5" s="165"/>
      <c r="AU5" s="167"/>
      <c r="AV5" s="165"/>
      <c r="AW5" s="166"/>
      <c r="AX5" s="166"/>
      <c r="AY5" s="167"/>
      <c r="AZ5" s="158"/>
      <c r="BA5" s="158"/>
    </row>
    <row r="6" spans="1:58" ht="41" customHeight="1" x14ac:dyDescent="0.25">
      <c r="A6" s="170"/>
      <c r="B6" s="170"/>
      <c r="C6" s="170"/>
      <c r="D6" s="170"/>
      <c r="E6" s="55" t="str">
        <f>IF($J$1="ENG","Core capital, UAH mln","ОК, млн грн")</f>
        <v>ОК, млн грн</v>
      </c>
      <c r="F6" s="55" t="str">
        <f>IF($J$1="ENG","Regulatory capital, UAH mln","РК, млн грн")</f>
        <v>РК, млн грн</v>
      </c>
      <c r="G6" s="55" t="str">
        <f>IF($J$1="ENG","CAR","Н2")</f>
        <v>Н2</v>
      </c>
      <c r="H6" s="55" t="str">
        <f>IF($J$1="ENG","Core capital ratio","Н3")</f>
        <v>Н3</v>
      </c>
      <c r="I6" s="41" t="str">
        <f>IF($J$1="ENG","Estimated denominator of the requirement, UAH mln","Розрахунковий знаменник нормативу, млн грн")</f>
        <v>Розрахунковий знаменник нормативу, млн грн</v>
      </c>
      <c r="J6" s="8" t="str">
        <f>IF($J$1="ENG","extrapolation","екстраполяція")</f>
        <v>екстраполяція</v>
      </c>
      <c r="K6" s="55" t="str">
        <f>E6</f>
        <v>ОК, млн грн</v>
      </c>
      <c r="L6" s="63" t="str">
        <f>F6</f>
        <v>РК, млн грн</v>
      </c>
      <c r="M6" s="63" t="str">
        <f>G6</f>
        <v>Н2</v>
      </c>
      <c r="N6" s="63" t="str">
        <f>H6</f>
        <v>Н3</v>
      </c>
      <c r="O6" s="41" t="str">
        <f>IF($J$1="ENG","Estimated denominator of the requirement, UAH mln","Розрахунковий знаменник нормативу, млн грн")</f>
        <v>Розрахунковий знаменник нормативу, млн грн</v>
      </c>
      <c r="P6" s="171" t="str">
        <f>E6</f>
        <v>ОК, млн грн</v>
      </c>
      <c r="Q6" s="172"/>
      <c r="R6" s="173"/>
      <c r="S6" s="171" t="str">
        <f>F6</f>
        <v>РК, млн грн</v>
      </c>
      <c r="T6" s="172"/>
      <c r="U6" s="173"/>
      <c r="V6" s="171" t="str">
        <f>M6</f>
        <v>Н2</v>
      </c>
      <c r="W6" s="172"/>
      <c r="X6" s="173"/>
      <c r="Y6" s="171" t="str">
        <f>H6</f>
        <v>Н3</v>
      </c>
      <c r="Z6" s="172"/>
      <c r="AA6" s="173"/>
      <c r="AB6" s="168" t="str">
        <f>IF($J$1="ENG","Estimated denominator of the requirement, UAH mln","Розрахунковий знаменник нормативу, млн грн")</f>
        <v>Розрахунковий знаменник нормативу, млн грн</v>
      </c>
      <c r="AC6" s="180"/>
      <c r="AD6" s="169"/>
      <c r="AE6" s="171" t="str">
        <f>P6</f>
        <v>ОК, млн грн</v>
      </c>
      <c r="AF6" s="172"/>
      <c r="AG6" s="173"/>
      <c r="AH6" s="171" t="str">
        <f>S6</f>
        <v>РК, млн грн</v>
      </c>
      <c r="AI6" s="172"/>
      <c r="AJ6" s="173"/>
      <c r="AK6" s="171" t="str">
        <f>V6</f>
        <v>Н2</v>
      </c>
      <c r="AL6" s="172"/>
      <c r="AM6" s="173"/>
      <c r="AN6" s="171" t="str">
        <f>Y6</f>
        <v>Н3</v>
      </c>
      <c r="AO6" s="172"/>
      <c r="AP6" s="173"/>
      <c r="AQ6" s="168" t="str">
        <f>IF($J$1="ENG","Estimated denominator of the requirement, UAH mln","Розрахунковий знаменник нормативу, млн грн")</f>
        <v>Розрахунковий знаменник нормативу, млн грн</v>
      </c>
      <c r="AR6" s="180"/>
      <c r="AS6" s="169"/>
      <c r="AT6" s="161" t="str">
        <f>IF($J$1="ENG","resilience assessment results, %","за результатами оцінки стійкості, %")</f>
        <v>за результатами оцінки стійкості, %</v>
      </c>
      <c r="AU6" s="161"/>
      <c r="AV6" s="161" t="str">
        <f>IF($J$1="ENG","resilience assessment results, %","за результатами оцінки стійкості, %")</f>
        <v>за результатами оцінки стійкості, %</v>
      </c>
      <c r="AW6" s="161"/>
      <c r="AX6" s="168" t="str">
        <f>IF($J$1="ENG","after measures taken and planned by banks*, %","з урахуванням здійснених та запланованих банком заходів*, %")</f>
        <v>з урахуванням здійснених та запланованих банком заходів*, %</v>
      </c>
      <c r="AY6" s="169"/>
      <c r="AZ6" s="158"/>
      <c r="BA6" s="158"/>
    </row>
    <row r="7" spans="1:58" ht="25.75" customHeight="1" x14ac:dyDescent="0.25">
      <c r="A7" s="170"/>
      <c r="B7" s="170"/>
      <c r="C7" s="170"/>
      <c r="D7" s="170"/>
      <c r="E7" s="174" t="str">
        <f>IF($J$1="ENG","reporting date 1 Jan 2021","звітний рік (на 01.01.2021)")</f>
        <v>звітний рік (на 01.01.2021)</v>
      </c>
      <c r="F7" s="175"/>
      <c r="G7" s="175"/>
      <c r="H7" s="175"/>
      <c r="I7" s="176"/>
      <c r="J7" s="174" t="str">
        <f>IF($J$1="ENG","reporting date 1 Jan 2021","звітний рік (на 01.01.2021)")</f>
        <v>звітний рік (на 01.01.2021)</v>
      </c>
      <c r="K7" s="175"/>
      <c r="L7" s="175"/>
      <c r="M7" s="175"/>
      <c r="N7" s="175"/>
      <c r="O7" s="176"/>
      <c r="P7" s="8" t="str">
        <f>IF($J$1="ENG","1st","1-й")</f>
        <v>1-й</v>
      </c>
      <c r="Q7" s="8" t="str">
        <f>IF($J$1="ENG","2nd","2-й")</f>
        <v>2-й</v>
      </c>
      <c r="R7" s="8" t="str">
        <f>IF($J$1="ENG","3rd","3-й")</f>
        <v>3-й</v>
      </c>
      <c r="S7" s="55" t="str">
        <f>IF($J$1="ENG","1st","1-й")</f>
        <v>1-й</v>
      </c>
      <c r="T7" s="55" t="str">
        <f>IF($J$1="ENG","2nd","2-й")</f>
        <v>2-й</v>
      </c>
      <c r="U7" s="55" t="str">
        <f>IF($J$1="ENG","3rd","3-й")</f>
        <v>3-й</v>
      </c>
      <c r="V7" s="55" t="str">
        <f>IF($J$1="ENG","1st","1-й")</f>
        <v>1-й</v>
      </c>
      <c r="W7" s="55" t="str">
        <f>IF($J$1="ENG","2nd","2-й")</f>
        <v>2-й</v>
      </c>
      <c r="X7" s="55" t="str">
        <f>IF($J$1="ENG","3rd","3-й")</f>
        <v>3-й</v>
      </c>
      <c r="Y7" s="55" t="str">
        <f>IF($J$1="ENG","1st","1-й")</f>
        <v>1-й</v>
      </c>
      <c r="Z7" s="55" t="str">
        <f>IF($J$1="ENG","2nd","2-й")</f>
        <v>2-й</v>
      </c>
      <c r="AA7" s="55" t="str">
        <f>IF($J$1="ENG","3rd","3-й")</f>
        <v>3-й</v>
      </c>
      <c r="AB7" s="91" t="str">
        <f>IF($J$1="ENG","1st","1-й")</f>
        <v>1-й</v>
      </c>
      <c r="AC7" s="91" t="str">
        <f>IF($J$1="ENG","2nd","2-й")</f>
        <v>2-й</v>
      </c>
      <c r="AD7" s="91" t="str">
        <f>IF($J$1="ENG","3rd","3-й")</f>
        <v>3-й</v>
      </c>
      <c r="AE7" s="92" t="str">
        <f>IF($J$1="ENG","1st","1-й")</f>
        <v>1-й</v>
      </c>
      <c r="AF7" s="55" t="str">
        <f>IF($J$1="ENG","2nd","2-й")</f>
        <v>2-й</v>
      </c>
      <c r="AG7" s="55" t="str">
        <f>IF($J$1="ENG","3rd","3-й")</f>
        <v>3-й</v>
      </c>
      <c r="AH7" s="55" t="str">
        <f>IF($J$1="ENG","1st","1-й")</f>
        <v>1-й</v>
      </c>
      <c r="AI7" s="55" t="str">
        <f>IF($J$1="ENG","2nd","2-й")</f>
        <v>2-й</v>
      </c>
      <c r="AJ7" s="55" t="str">
        <f>IF($J$1="ENG","3rd","3-й")</f>
        <v>3-й</v>
      </c>
      <c r="AK7" s="55" t="str">
        <f>IF($J$1="ENG","1st","1-й")</f>
        <v>1-й</v>
      </c>
      <c r="AL7" s="55" t="str">
        <f>IF($J$1="ENG","2nd","2-й")</f>
        <v>2-й</v>
      </c>
      <c r="AM7" s="55" t="str">
        <f>IF($J$1="ENG","3rd","3-й")</f>
        <v>3-й</v>
      </c>
      <c r="AN7" s="55" t="str">
        <f>IF($J$1="ENG","1st","1-й")</f>
        <v>1-й</v>
      </c>
      <c r="AO7" s="55" t="str">
        <f>IF($J$1="ENG","2nd","2-й")</f>
        <v>2-й</v>
      </c>
      <c r="AP7" s="55" t="str">
        <f>IF($J$1="ENG","3rd","3-й")</f>
        <v>3-й</v>
      </c>
      <c r="AQ7" s="91" t="str">
        <f>IF($J$1="ENG","1st","1-й")</f>
        <v>1-й</v>
      </c>
      <c r="AR7" s="91" t="str">
        <f>IF($J$1="ENG","2nd","2-й")</f>
        <v>2-й</v>
      </c>
      <c r="AS7" s="91" t="str">
        <f>IF($J$1="ENG","3rd","3-й")</f>
        <v>3-й</v>
      </c>
      <c r="AT7" s="159" t="str">
        <f>IF($J$1="ENG","CAR","Н2")</f>
        <v>Н2</v>
      </c>
      <c r="AU7" s="159" t="str">
        <f>IF($J$1="ENG","Core capital ratio","Н3")</f>
        <v>Н3</v>
      </c>
      <c r="AV7" s="159" t="str">
        <f>IF($J$1="ENG","CAR","Н2")</f>
        <v>Н2</v>
      </c>
      <c r="AW7" s="159" t="str">
        <f>IF($J$1="ENG","Core capital ratio","Н3")</f>
        <v>Н3</v>
      </c>
      <c r="AX7" s="159" t="str">
        <f>IF($J$1="ENG","CAR","Н2")</f>
        <v>Н2</v>
      </c>
      <c r="AY7" s="159" t="str">
        <f>IF($J$1="ENG","Core capital ratio","Н3")</f>
        <v>Н3</v>
      </c>
      <c r="AZ7" s="159" t="str">
        <f>IF($J$1="ENG","CAR","Н2")</f>
        <v>Н2</v>
      </c>
      <c r="BA7" s="159" t="str">
        <f>IF($J$1="ENG","Core capital ratio","Н3")</f>
        <v>Н3</v>
      </c>
    </row>
    <row r="8" spans="1:58" ht="18.649999999999999" customHeight="1" x14ac:dyDescent="0.25">
      <c r="A8" s="170"/>
      <c r="B8" s="170"/>
      <c r="C8" s="170"/>
      <c r="D8" s="170"/>
      <c r="E8" s="177"/>
      <c r="F8" s="178"/>
      <c r="G8" s="178"/>
      <c r="H8" s="178"/>
      <c r="I8" s="179"/>
      <c r="J8" s="177"/>
      <c r="K8" s="178"/>
      <c r="L8" s="178"/>
      <c r="M8" s="178"/>
      <c r="N8" s="178"/>
      <c r="O8" s="179"/>
      <c r="P8" s="161" t="str">
        <f>IF($J$1="ENG","forecast year","прогнозний рік")</f>
        <v>прогнозний рік</v>
      </c>
      <c r="Q8" s="161"/>
      <c r="R8" s="161"/>
      <c r="S8" s="161" t="str">
        <f>IF($J$1="ENG","forecast year","прогнозний рік")</f>
        <v>прогнозний рік</v>
      </c>
      <c r="T8" s="161"/>
      <c r="U8" s="161"/>
      <c r="V8" s="161" t="str">
        <f>IF($J$1="ENG","forecast year","прогнозний рік")</f>
        <v>прогнозний рік</v>
      </c>
      <c r="W8" s="161"/>
      <c r="X8" s="161"/>
      <c r="Y8" s="161" t="str">
        <f>IF($J$1="ENG","forecast year","прогнозний рік")</f>
        <v>прогнозний рік</v>
      </c>
      <c r="Z8" s="161"/>
      <c r="AA8" s="161"/>
      <c r="AB8" s="161" t="str">
        <f>IF($J$1="ENG","forecast year","прогнозний рік")</f>
        <v>прогнозний рік</v>
      </c>
      <c r="AC8" s="161"/>
      <c r="AD8" s="161"/>
      <c r="AE8" s="161" t="str">
        <f>IF($J$1="ENG","forecast year","прогнозний рік")</f>
        <v>прогнозний рік</v>
      </c>
      <c r="AF8" s="161"/>
      <c r="AG8" s="161"/>
      <c r="AH8" s="161" t="str">
        <f>IF($J$1="ENG","forecast year","прогнозний рік")</f>
        <v>прогнозний рік</v>
      </c>
      <c r="AI8" s="161"/>
      <c r="AJ8" s="161"/>
      <c r="AK8" s="161" t="str">
        <f>IF($J$1="ENG","forecast year","прогнозний рік")</f>
        <v>прогнозний рік</v>
      </c>
      <c r="AL8" s="161"/>
      <c r="AM8" s="161"/>
      <c r="AN8" s="161" t="str">
        <f>IF($J$1="ENG","forecast year","прогнозний рік")</f>
        <v>прогнозний рік</v>
      </c>
      <c r="AO8" s="161"/>
      <c r="AP8" s="161"/>
      <c r="AQ8" s="161" t="str">
        <f>IF($J$1="ENG","forecast year","прогнозний рік")</f>
        <v>прогнозний рік</v>
      </c>
      <c r="AR8" s="161"/>
      <c r="AS8" s="161"/>
      <c r="AT8" s="160"/>
      <c r="AU8" s="160"/>
      <c r="AV8" s="160"/>
      <c r="AW8" s="160"/>
      <c r="AX8" s="160"/>
      <c r="AY8" s="160"/>
      <c r="AZ8" s="160"/>
      <c r="BA8" s="160"/>
    </row>
    <row r="9" spans="1:58" x14ac:dyDescent="0.25">
      <c r="A9" s="9">
        <v>1</v>
      </c>
      <c r="B9" s="9">
        <v>2</v>
      </c>
      <c r="C9" s="9">
        <v>3</v>
      </c>
      <c r="D9" s="9">
        <v>4</v>
      </c>
      <c r="E9" s="69">
        <v>5</v>
      </c>
      <c r="F9" s="69">
        <v>6</v>
      </c>
      <c r="G9" s="69">
        <v>7</v>
      </c>
      <c r="H9" s="69">
        <v>8</v>
      </c>
      <c r="I9" s="9"/>
      <c r="J9" s="67">
        <v>9</v>
      </c>
      <c r="K9" s="67">
        <v>10</v>
      </c>
      <c r="L9" s="69">
        <v>11</v>
      </c>
      <c r="M9" s="69">
        <v>12</v>
      </c>
      <c r="N9" s="69">
        <v>13</v>
      </c>
      <c r="O9" s="67"/>
      <c r="P9" s="67">
        <v>13</v>
      </c>
      <c r="Q9" s="67">
        <v>14</v>
      </c>
      <c r="R9" s="69">
        <v>15</v>
      </c>
      <c r="S9" s="69">
        <v>16</v>
      </c>
      <c r="T9" s="69">
        <v>17</v>
      </c>
      <c r="U9" s="69">
        <v>18</v>
      </c>
      <c r="V9" s="69">
        <v>19</v>
      </c>
      <c r="W9" s="69">
        <v>20</v>
      </c>
      <c r="X9" s="69">
        <v>21</v>
      </c>
      <c r="Y9" s="69">
        <v>22</v>
      </c>
      <c r="Z9" s="69">
        <v>23</v>
      </c>
      <c r="AA9" s="69">
        <v>24</v>
      </c>
      <c r="AB9" s="67"/>
      <c r="AC9" s="67"/>
      <c r="AD9" s="67"/>
      <c r="AE9" s="93">
        <v>25</v>
      </c>
      <c r="AF9" s="67">
        <v>26</v>
      </c>
      <c r="AG9" s="69">
        <v>27</v>
      </c>
      <c r="AH9" s="69">
        <v>28</v>
      </c>
      <c r="AI9" s="69">
        <v>29</v>
      </c>
      <c r="AJ9" s="69">
        <v>30</v>
      </c>
      <c r="AK9" s="69">
        <v>31</v>
      </c>
      <c r="AL9" s="69">
        <v>32</v>
      </c>
      <c r="AM9" s="69">
        <v>33</v>
      </c>
      <c r="AN9" s="69">
        <v>34</v>
      </c>
      <c r="AO9" s="69">
        <v>35</v>
      </c>
      <c r="AP9" s="69">
        <v>36</v>
      </c>
      <c r="AQ9" s="128">
        <v>37</v>
      </c>
      <c r="AR9" s="128">
        <v>38</v>
      </c>
      <c r="AS9" s="128">
        <v>39</v>
      </c>
      <c r="AT9" s="130">
        <v>40</v>
      </c>
      <c r="AU9" s="130">
        <v>41</v>
      </c>
      <c r="AV9" s="131">
        <v>42</v>
      </c>
      <c r="AW9" s="131">
        <v>43</v>
      </c>
      <c r="AX9" s="131">
        <v>44</v>
      </c>
      <c r="AY9" s="131">
        <v>45</v>
      </c>
      <c r="AZ9" s="131">
        <v>48</v>
      </c>
      <c r="BA9" s="131">
        <v>49</v>
      </c>
    </row>
    <row r="10" spans="1:58" x14ac:dyDescent="0.25">
      <c r="A10" s="3">
        <v>1</v>
      </c>
      <c r="B10" s="3">
        <v>46</v>
      </c>
      <c r="C10" s="37" t="str">
        <f>IF($J$1="ENG","Privatbank","Приватбанк")</f>
        <v>Приватбанк</v>
      </c>
      <c r="D10" s="3" t="str">
        <f>IF($J$1="ENG","State-owned banks","Банки з державною часткою")</f>
        <v>Банки з державною часткою</v>
      </c>
      <c r="E10" s="4">
        <v>17643.186000000002</v>
      </c>
      <c r="F10" s="4">
        <v>35256.127</v>
      </c>
      <c r="G10" s="34">
        <v>0.28499999999999998</v>
      </c>
      <c r="H10" s="34">
        <v>0.1426</v>
      </c>
      <c r="I10" s="4">
        <v>123725.00701262272</v>
      </c>
      <c r="J10" s="137" t="str">
        <f>IF($J$1="ENG","no","ні")</f>
        <v>ні</v>
      </c>
      <c r="K10" s="4">
        <v>17643.186000000002</v>
      </c>
      <c r="L10" s="4">
        <v>35256.127</v>
      </c>
      <c r="M10" s="34">
        <v>0.28499999999999998</v>
      </c>
      <c r="N10" s="34">
        <v>0.1426</v>
      </c>
      <c r="O10" s="4">
        <v>123725.00701262272</v>
      </c>
      <c r="P10" s="4">
        <v>34680.118999999999</v>
      </c>
      <c r="Q10" s="4">
        <v>50533.258999999998</v>
      </c>
      <c r="R10" s="4">
        <v>63527.572</v>
      </c>
      <c r="S10" s="4">
        <v>46245.04</v>
      </c>
      <c r="T10" s="4">
        <v>62098.18</v>
      </c>
      <c r="U10" s="4">
        <v>75092.494000000006</v>
      </c>
      <c r="V10" s="34">
        <v>0.2555</v>
      </c>
      <c r="W10" s="34">
        <v>0.27729999999999999</v>
      </c>
      <c r="X10" s="34">
        <v>0.33579999999999999</v>
      </c>
      <c r="Y10" s="34">
        <v>0.19159999999999999</v>
      </c>
      <c r="Z10" s="34">
        <v>0.22570000000000001</v>
      </c>
      <c r="AA10" s="34">
        <v>0.28410000000000002</v>
      </c>
      <c r="AB10" s="4">
        <v>181002.70876826721</v>
      </c>
      <c r="AC10" s="4">
        <v>223895.6978289765</v>
      </c>
      <c r="AD10" s="4">
        <v>223609.89792326643</v>
      </c>
      <c r="AE10" s="4">
        <v>30730.554</v>
      </c>
      <c r="AF10" s="4">
        <v>40608.883999999998</v>
      </c>
      <c r="AG10" s="4">
        <v>48818.455000000002</v>
      </c>
      <c r="AH10" s="4">
        <v>42295.474999999999</v>
      </c>
      <c r="AI10" s="4">
        <v>52173.805</v>
      </c>
      <c r="AJ10" s="4">
        <v>60383.375999999997</v>
      </c>
      <c r="AK10" s="66">
        <v>0.22950000000000001</v>
      </c>
      <c r="AL10" s="66">
        <v>0.23169999999999999</v>
      </c>
      <c r="AM10" s="66">
        <v>0.2641</v>
      </c>
      <c r="AN10" s="66">
        <v>0.16669999999999999</v>
      </c>
      <c r="AO10" s="66">
        <v>0.18029999999999999</v>
      </c>
      <c r="AP10" s="66">
        <v>0.2135</v>
      </c>
      <c r="AQ10" s="4">
        <v>184346.45470905819</v>
      </c>
      <c r="AR10" s="4">
        <v>225229.52856350527</v>
      </c>
      <c r="AS10" s="4">
        <v>228657.86885245904</v>
      </c>
      <c r="AT10" s="66">
        <v>0.1</v>
      </c>
      <c r="AU10" s="66">
        <v>7.0000000000000007E-2</v>
      </c>
      <c r="AV10" s="66">
        <v>0.1</v>
      </c>
      <c r="AW10" s="66">
        <v>7.0000000000000007E-2</v>
      </c>
      <c r="AX10" s="34">
        <v>0.1</v>
      </c>
      <c r="AY10" s="34">
        <v>7.0000000000000007E-2</v>
      </c>
      <c r="AZ10" s="66">
        <v>0.2732</v>
      </c>
      <c r="BA10" s="66">
        <v>0.13669999999999999</v>
      </c>
      <c r="BB10" s="50"/>
      <c r="BC10" s="50"/>
      <c r="BD10" s="36"/>
      <c r="BE10" s="50"/>
      <c r="BF10" s="50"/>
    </row>
    <row r="11" spans="1:58" x14ac:dyDescent="0.25">
      <c r="A11" s="3">
        <v>2</v>
      </c>
      <c r="B11" s="3">
        <v>6</v>
      </c>
      <c r="C11" s="37" t="str">
        <f>IF($J$1="ENG","Oschadbank","Ощадбанк")</f>
        <v>Ощадбанк</v>
      </c>
      <c r="D11" s="3" t="str">
        <f>IF($J$1="ENG","State-owned banks","Банки з державною часткою")</f>
        <v>Банки з державною часткою</v>
      </c>
      <c r="E11" s="4">
        <v>12534.599</v>
      </c>
      <c r="F11" s="4">
        <v>17168.044000000002</v>
      </c>
      <c r="G11" s="34">
        <v>0.18379999999999999</v>
      </c>
      <c r="H11" s="34">
        <v>0.13420000000000001</v>
      </c>
      <c r="I11" s="4">
        <v>93402.377049180315</v>
      </c>
      <c r="J11" s="137" t="str">
        <f t="shared" ref="J11:J39" si="0">IF($J$1="ENG","no","ні")</f>
        <v>ні</v>
      </c>
      <c r="K11" s="4">
        <v>12534.599</v>
      </c>
      <c r="L11" s="4">
        <v>17167.84</v>
      </c>
      <c r="M11" s="34">
        <v>0.18379999999999999</v>
      </c>
      <c r="N11" s="34">
        <v>0.13420000000000001</v>
      </c>
      <c r="O11" s="4">
        <v>93402.377049180315</v>
      </c>
      <c r="P11" s="4">
        <v>14967.019</v>
      </c>
      <c r="Q11" s="4">
        <v>14102.571</v>
      </c>
      <c r="R11" s="4">
        <v>11347.867</v>
      </c>
      <c r="S11" s="4">
        <v>16321.641</v>
      </c>
      <c r="T11" s="4">
        <v>15140.227999999999</v>
      </c>
      <c r="U11" s="4">
        <v>12203.063</v>
      </c>
      <c r="V11" s="34">
        <v>0.15190000000000001</v>
      </c>
      <c r="W11" s="34">
        <v>0.12670000000000001</v>
      </c>
      <c r="X11" s="34">
        <v>0.1033</v>
      </c>
      <c r="Y11" s="34">
        <v>0.13930000000000001</v>
      </c>
      <c r="Z11" s="34">
        <v>0.1181</v>
      </c>
      <c r="AA11" s="34">
        <v>9.6000000000000002E-2</v>
      </c>
      <c r="AB11" s="4">
        <v>107444.50107681264</v>
      </c>
      <c r="AC11" s="4">
        <v>119412.11685012701</v>
      </c>
      <c r="AD11" s="4">
        <v>118206.94791666667</v>
      </c>
      <c r="AE11" s="4">
        <v>8092.4489999999996</v>
      </c>
      <c r="AF11" s="4">
        <v>1458.93</v>
      </c>
      <c r="AG11" s="4">
        <v>-7081.442</v>
      </c>
      <c r="AH11" s="4">
        <v>9538.8639999999996</v>
      </c>
      <c r="AI11" s="4">
        <v>2543.0450000000001</v>
      </c>
      <c r="AJ11" s="4">
        <v>-7133.3</v>
      </c>
      <c r="AK11" s="66">
        <v>8.5400000000000004E-2</v>
      </c>
      <c r="AL11" s="66">
        <v>2.0400000000000001E-2</v>
      </c>
      <c r="AM11" s="66">
        <v>-5.5899999999999998E-2</v>
      </c>
      <c r="AN11" s="66">
        <v>7.2400000000000006E-2</v>
      </c>
      <c r="AO11" s="66">
        <v>1.17E-2</v>
      </c>
      <c r="AP11" s="66">
        <v>-5.5500000000000001E-2</v>
      </c>
      <c r="AQ11" s="4">
        <v>111774.15745856352</v>
      </c>
      <c r="AR11" s="4">
        <v>124694.8717948718</v>
      </c>
      <c r="AS11" s="4">
        <v>127593.54954954954</v>
      </c>
      <c r="AT11" s="66">
        <v>0.1</v>
      </c>
      <c r="AU11" s="66">
        <v>9.8000000000000004E-2</v>
      </c>
      <c r="AV11" s="66">
        <v>0.27500000000000002</v>
      </c>
      <c r="AW11" s="66">
        <v>0.26</v>
      </c>
      <c r="AX11" s="34">
        <v>0.13700000000000001</v>
      </c>
      <c r="AY11" s="34">
        <v>9.9000000000000005E-2</v>
      </c>
      <c r="AZ11" s="66">
        <v>0.1782</v>
      </c>
      <c r="BA11" s="66">
        <v>0.14069999999999999</v>
      </c>
      <c r="BB11" s="132"/>
      <c r="BC11" s="132"/>
      <c r="BD11" s="36"/>
      <c r="BE11" s="50"/>
      <c r="BF11" s="50"/>
    </row>
    <row r="12" spans="1:58" x14ac:dyDescent="0.25">
      <c r="A12" s="3">
        <v>3</v>
      </c>
      <c r="B12" s="3">
        <v>2</v>
      </c>
      <c r="C12" s="37" t="str">
        <f>IF($J$1="ENG","Ukreximbank","Укрексімбанк")</f>
        <v>Укрексімбанк</v>
      </c>
      <c r="D12" s="3" t="str">
        <f>IF($J$1="ENG","State-owned banks","Банки з державною часткою")</f>
        <v>Банки з державною часткою</v>
      </c>
      <c r="E12" s="4">
        <v>8969.3050000000003</v>
      </c>
      <c r="F12" s="4">
        <v>13505.563</v>
      </c>
      <c r="G12" s="34">
        <v>0.21240000000000001</v>
      </c>
      <c r="H12" s="34">
        <v>0.1411</v>
      </c>
      <c r="I12" s="4">
        <v>63567.009213323887</v>
      </c>
      <c r="J12" s="137" t="str">
        <f t="shared" si="0"/>
        <v>ні</v>
      </c>
      <c r="K12" s="4">
        <v>8969.3050000000003</v>
      </c>
      <c r="L12" s="4">
        <v>13505.563</v>
      </c>
      <c r="M12" s="34">
        <v>0.21240000000000001</v>
      </c>
      <c r="N12" s="34">
        <v>0.1411</v>
      </c>
      <c r="O12" s="4">
        <v>63567.009213323887</v>
      </c>
      <c r="P12" s="4">
        <v>8003.88</v>
      </c>
      <c r="Q12" s="4">
        <v>6338.6310000000003</v>
      </c>
      <c r="R12" s="4">
        <v>3709.1529999999998</v>
      </c>
      <c r="S12" s="4">
        <v>11518.466</v>
      </c>
      <c r="T12" s="4">
        <v>9616.7620000000006</v>
      </c>
      <c r="U12" s="4">
        <v>6916.5150000000003</v>
      </c>
      <c r="V12" s="34">
        <v>0.17119999999999999</v>
      </c>
      <c r="W12" s="34">
        <v>0.13250000000000001</v>
      </c>
      <c r="X12" s="34">
        <v>9.5699999999999993E-2</v>
      </c>
      <c r="Y12" s="34">
        <v>0.11890000000000001</v>
      </c>
      <c r="Z12" s="34">
        <v>8.7400000000000005E-2</v>
      </c>
      <c r="AA12" s="34">
        <v>5.1299999999999998E-2</v>
      </c>
      <c r="AB12" s="4">
        <v>67316.063919259876</v>
      </c>
      <c r="AC12" s="4">
        <v>72524.382151029742</v>
      </c>
      <c r="AD12" s="4">
        <v>72303.177387914227</v>
      </c>
      <c r="AE12" s="4">
        <v>966.38800000000003</v>
      </c>
      <c r="AF12" s="4">
        <v>-3881.7469999999998</v>
      </c>
      <c r="AG12" s="4">
        <v>-12175.645</v>
      </c>
      <c r="AH12" s="4">
        <v>1910.173</v>
      </c>
      <c r="AI12" s="4">
        <v>-3904.3490000000002</v>
      </c>
      <c r="AJ12" s="4">
        <v>-12198.246999999999</v>
      </c>
      <c r="AK12" s="66">
        <v>2.6100000000000002E-2</v>
      </c>
      <c r="AL12" s="66">
        <v>-4.8500000000000001E-2</v>
      </c>
      <c r="AM12" s="66">
        <v>-0.1444</v>
      </c>
      <c r="AN12" s="66">
        <v>1.32E-2</v>
      </c>
      <c r="AO12" s="66">
        <v>-4.82E-2</v>
      </c>
      <c r="AP12" s="66">
        <v>-0.14410000000000001</v>
      </c>
      <c r="AQ12" s="4">
        <v>73211.212121212127</v>
      </c>
      <c r="AR12" s="4">
        <v>80534.17012448133</v>
      </c>
      <c r="AS12" s="4">
        <v>84494.41360166551</v>
      </c>
      <c r="AT12" s="66">
        <v>0.191</v>
      </c>
      <c r="AU12" s="66">
        <v>0.161</v>
      </c>
      <c r="AV12" s="66">
        <v>0.39100000000000001</v>
      </c>
      <c r="AW12" s="66">
        <v>0.376</v>
      </c>
      <c r="AX12" s="34">
        <v>0.1</v>
      </c>
      <c r="AY12" s="34">
        <v>7.0000000000000007E-2</v>
      </c>
      <c r="AZ12" s="66">
        <v>0.2064</v>
      </c>
      <c r="BA12" s="66">
        <v>0.124</v>
      </c>
      <c r="BB12" s="50"/>
      <c r="BC12" s="50"/>
      <c r="BD12" s="36"/>
      <c r="BE12" s="50"/>
      <c r="BF12" s="50"/>
    </row>
    <row r="13" spans="1:58" x14ac:dyDescent="0.25">
      <c r="A13" s="3">
        <v>4</v>
      </c>
      <c r="B13" s="3">
        <v>274</v>
      </c>
      <c r="C13" s="37" t="str">
        <f>IF($J$1="ENG","Ukrgasbank","Укргазбанк")</f>
        <v>Укргазбанк</v>
      </c>
      <c r="D13" s="3" t="str">
        <f>IF($J$1="ENG","State-owned banks","Банки з державною часткою")</f>
        <v>Банки з державною часткою</v>
      </c>
      <c r="E13" s="4">
        <v>8456.1170000000002</v>
      </c>
      <c r="F13" s="4">
        <v>8695.4549999999999</v>
      </c>
      <c r="G13" s="34">
        <v>0.14979999999999999</v>
      </c>
      <c r="H13" s="34">
        <v>0.14560000000000001</v>
      </c>
      <c r="I13" s="4">
        <v>58077.726648351643</v>
      </c>
      <c r="J13" s="137" t="str">
        <f t="shared" si="0"/>
        <v>ні</v>
      </c>
      <c r="K13" s="4">
        <v>8456.1170000000002</v>
      </c>
      <c r="L13" s="4">
        <v>8695.4549999999999</v>
      </c>
      <c r="M13" s="34">
        <v>0.14979999999999999</v>
      </c>
      <c r="N13" s="34">
        <v>0.14560000000000001</v>
      </c>
      <c r="O13" s="4">
        <v>58077.726648351643</v>
      </c>
      <c r="P13" s="4">
        <v>9297.7479999999996</v>
      </c>
      <c r="Q13" s="4">
        <v>10129.968999999999</v>
      </c>
      <c r="R13" s="4">
        <v>10060.956</v>
      </c>
      <c r="S13" s="4">
        <v>9357.0910000000003</v>
      </c>
      <c r="T13" s="4">
        <v>10189.312</v>
      </c>
      <c r="U13" s="4">
        <v>10120.299000000001</v>
      </c>
      <c r="V13" s="34">
        <v>0.14979999999999999</v>
      </c>
      <c r="W13" s="34">
        <v>0.15160000000000001</v>
      </c>
      <c r="X13" s="34">
        <v>0.15090000000000001</v>
      </c>
      <c r="Y13" s="34">
        <v>0.14879999999999999</v>
      </c>
      <c r="Z13" s="34">
        <v>0.1507</v>
      </c>
      <c r="AA13" s="34">
        <v>0.15</v>
      </c>
      <c r="AB13" s="4">
        <v>62484.865591397851</v>
      </c>
      <c r="AC13" s="4">
        <v>67219.435965494355</v>
      </c>
      <c r="AD13" s="4">
        <v>67073.040000000008</v>
      </c>
      <c r="AE13" s="4">
        <v>1785.576</v>
      </c>
      <c r="AF13" s="4">
        <v>-1028.989</v>
      </c>
      <c r="AG13" s="4">
        <v>-3406.3220000000001</v>
      </c>
      <c r="AH13" s="4">
        <v>1844.9190000000001</v>
      </c>
      <c r="AI13" s="4">
        <v>-1035.6489999999999</v>
      </c>
      <c r="AJ13" s="4">
        <v>-3412.982</v>
      </c>
      <c r="AK13" s="66">
        <v>2.7699999999999999E-2</v>
      </c>
      <c r="AL13" s="66">
        <v>-1.44E-2</v>
      </c>
      <c r="AM13" s="66">
        <v>-4.5999999999999999E-2</v>
      </c>
      <c r="AN13" s="66">
        <v>2.6800000000000001E-2</v>
      </c>
      <c r="AO13" s="66">
        <v>-1.43E-2</v>
      </c>
      <c r="AP13" s="66">
        <v>-4.5900000000000003E-2</v>
      </c>
      <c r="AQ13" s="4">
        <v>66625.970149253728</v>
      </c>
      <c r="AR13" s="4">
        <v>71957.272727272735</v>
      </c>
      <c r="AS13" s="4">
        <v>74211.808278867102</v>
      </c>
      <c r="AT13" s="66">
        <v>0.1</v>
      </c>
      <c r="AU13" s="66">
        <v>7.0000000000000007E-2</v>
      </c>
      <c r="AV13" s="66">
        <v>0.25700000000000001</v>
      </c>
      <c r="AW13" s="66">
        <v>0.24199999999999999</v>
      </c>
      <c r="AX13" s="34">
        <v>0.1</v>
      </c>
      <c r="AY13" s="34">
        <v>7.0000000000000007E-2</v>
      </c>
      <c r="AZ13" s="66">
        <v>0.2001</v>
      </c>
      <c r="BA13" s="66">
        <v>0.15870000000000001</v>
      </c>
      <c r="BB13" s="50"/>
      <c r="BC13" s="50"/>
      <c r="BD13" s="36"/>
      <c r="BE13" s="50"/>
      <c r="BF13" s="50"/>
    </row>
    <row r="14" spans="1:58" x14ac:dyDescent="0.25">
      <c r="A14" s="3">
        <v>5</v>
      </c>
      <c r="B14" s="3">
        <v>272</v>
      </c>
      <c r="C14" s="37" t="str">
        <f>IF($J$1="ENG","Alfa-Bank","Альфа-Банк")</f>
        <v>Альфа-Банк</v>
      </c>
      <c r="D14" s="3" t="str">
        <f>IF($J$1="ENG","Foreign banks","Банки іноземних банківських груп")</f>
        <v>Банки іноземних банківських груп</v>
      </c>
      <c r="E14" s="4">
        <v>7055.0510000000004</v>
      </c>
      <c r="F14" s="4">
        <v>8390.7289999999994</v>
      </c>
      <c r="G14" s="34">
        <v>0.13439999999999999</v>
      </c>
      <c r="H14" s="34">
        <v>0.113</v>
      </c>
      <c r="I14" s="4">
        <v>62434.079646017701</v>
      </c>
      <c r="J14" s="137" t="str">
        <f t="shared" si="0"/>
        <v>ні</v>
      </c>
      <c r="K14" s="4">
        <v>7054.52</v>
      </c>
      <c r="L14" s="4">
        <v>8390.1980000000003</v>
      </c>
      <c r="M14" s="34">
        <v>0.13439999999999999</v>
      </c>
      <c r="N14" s="34">
        <v>0.113</v>
      </c>
      <c r="O14" s="4">
        <v>62429.380530973453</v>
      </c>
      <c r="P14" s="4">
        <v>9420.7049999999999</v>
      </c>
      <c r="Q14" s="4">
        <v>12179.849</v>
      </c>
      <c r="R14" s="4">
        <v>14622.172</v>
      </c>
      <c r="S14" s="4">
        <v>10485.626</v>
      </c>
      <c r="T14" s="4">
        <v>12977.011</v>
      </c>
      <c r="U14" s="4">
        <v>15125.597</v>
      </c>
      <c r="V14" s="34">
        <v>0.1394</v>
      </c>
      <c r="W14" s="34">
        <v>0.15640000000000001</v>
      </c>
      <c r="X14" s="34">
        <v>0.18260000000000001</v>
      </c>
      <c r="Y14" s="34">
        <v>0.12529999999999999</v>
      </c>
      <c r="Z14" s="34">
        <v>0.1467</v>
      </c>
      <c r="AA14" s="34">
        <v>0.17649999999999999</v>
      </c>
      <c r="AB14" s="4">
        <v>75185.195530726254</v>
      </c>
      <c r="AC14" s="4">
        <v>83025.555555555562</v>
      </c>
      <c r="AD14" s="4">
        <v>82845.167138810211</v>
      </c>
      <c r="AE14" s="4">
        <v>4970.0959999999995</v>
      </c>
      <c r="AF14" s="4">
        <v>5301.3490000000002</v>
      </c>
      <c r="AG14" s="4">
        <v>6147.5349999999999</v>
      </c>
      <c r="AH14" s="4">
        <v>6230.8410000000003</v>
      </c>
      <c r="AI14" s="4">
        <v>6284.3440000000001</v>
      </c>
      <c r="AJ14" s="4">
        <v>6830.799</v>
      </c>
      <c r="AK14" s="66">
        <v>8.2299999999999998E-2</v>
      </c>
      <c r="AL14" s="66">
        <v>7.5999999999999998E-2</v>
      </c>
      <c r="AM14" s="66">
        <v>8.1000000000000003E-2</v>
      </c>
      <c r="AN14" s="66">
        <v>6.5600000000000006E-2</v>
      </c>
      <c r="AO14" s="66">
        <v>6.4100000000000004E-2</v>
      </c>
      <c r="AP14" s="66">
        <v>7.2900000000000006E-2</v>
      </c>
      <c r="AQ14" s="4">
        <v>75763.658536585353</v>
      </c>
      <c r="AR14" s="4">
        <v>82704.352574102959</v>
      </c>
      <c r="AS14" s="4">
        <v>84328.326474622765</v>
      </c>
      <c r="AT14" s="66">
        <v>0.1</v>
      </c>
      <c r="AU14" s="66">
        <v>7.0000000000000007E-2</v>
      </c>
      <c r="AV14" s="66">
        <v>0.1</v>
      </c>
      <c r="AW14" s="66">
        <v>7.0000000000000007E-2</v>
      </c>
      <c r="AX14" s="34">
        <v>0.1</v>
      </c>
      <c r="AY14" s="34">
        <v>7.0000000000000007E-2</v>
      </c>
      <c r="AZ14" s="66">
        <v>0.14349999999999999</v>
      </c>
      <c r="BA14" s="66">
        <v>0.1076</v>
      </c>
      <c r="BB14" s="50"/>
      <c r="BC14" s="50"/>
      <c r="BD14" s="36"/>
      <c r="BE14" s="50"/>
      <c r="BF14" s="50"/>
    </row>
    <row r="15" spans="1:58" x14ac:dyDescent="0.25">
      <c r="A15" s="3">
        <v>6</v>
      </c>
      <c r="B15" s="3">
        <v>36</v>
      </c>
      <c r="C15" s="37" t="str">
        <f>IF($J$1="ENG","Raiffeisen Bank","Райффайзен Банк")</f>
        <v>Райффайзен Банк</v>
      </c>
      <c r="D15" s="3" t="str">
        <f>IF($J$1="ENG","Foreign banks","Банки іноземних банківських груп")</f>
        <v>Банки іноземних банківських груп</v>
      </c>
      <c r="E15" s="4">
        <v>6904.1109999999999</v>
      </c>
      <c r="F15" s="4">
        <v>10651.874</v>
      </c>
      <c r="G15" s="34">
        <v>0.1694</v>
      </c>
      <c r="H15" s="34">
        <v>0.10979999999999999</v>
      </c>
      <c r="I15" s="4">
        <v>62878.970856102009</v>
      </c>
      <c r="J15" s="137" t="str">
        <f t="shared" si="0"/>
        <v>ні</v>
      </c>
      <c r="K15" s="4">
        <v>6904.1109999999999</v>
      </c>
      <c r="L15" s="4">
        <v>10643.816999999999</v>
      </c>
      <c r="M15" s="34">
        <v>0.16930000000000001</v>
      </c>
      <c r="N15" s="34">
        <v>0.10979999999999999</v>
      </c>
      <c r="O15" s="4">
        <v>62878.970856102009</v>
      </c>
      <c r="P15" s="4">
        <v>11384.894</v>
      </c>
      <c r="Q15" s="4">
        <v>14735.096</v>
      </c>
      <c r="R15" s="4">
        <v>17295.087</v>
      </c>
      <c r="S15" s="4">
        <v>11684.548000000001</v>
      </c>
      <c r="T15" s="4">
        <v>15034.75</v>
      </c>
      <c r="U15" s="4">
        <v>17594.740000000002</v>
      </c>
      <c r="V15" s="34">
        <v>0.15490000000000001</v>
      </c>
      <c r="W15" s="34">
        <v>0.17510000000000001</v>
      </c>
      <c r="X15" s="34">
        <v>0.20519999999999999</v>
      </c>
      <c r="Y15" s="34">
        <v>0.15090000000000001</v>
      </c>
      <c r="Z15" s="34">
        <v>0.1716</v>
      </c>
      <c r="AA15" s="34">
        <v>0.20169999999999999</v>
      </c>
      <c r="AB15" s="4">
        <v>75446.613651424777</v>
      </c>
      <c r="AC15" s="4">
        <v>85868.857808857807</v>
      </c>
      <c r="AD15" s="4">
        <v>85746.588993554789</v>
      </c>
      <c r="AE15" s="4">
        <v>8211.9369999999999</v>
      </c>
      <c r="AF15" s="4">
        <v>8525.8960000000006</v>
      </c>
      <c r="AG15" s="4">
        <v>10168.602000000001</v>
      </c>
      <c r="AH15" s="4">
        <v>8511.5910000000003</v>
      </c>
      <c r="AI15" s="4">
        <v>8825.5499999999993</v>
      </c>
      <c r="AJ15" s="4">
        <v>10468.255999999999</v>
      </c>
      <c r="AK15" s="66">
        <v>0.1087</v>
      </c>
      <c r="AL15" s="66">
        <v>0.1007</v>
      </c>
      <c r="AM15" s="66">
        <v>0.11749999999999999</v>
      </c>
      <c r="AN15" s="66">
        <v>0.10489999999999999</v>
      </c>
      <c r="AO15" s="66">
        <v>9.7299999999999998E-2</v>
      </c>
      <c r="AP15" s="66">
        <v>0.1142</v>
      </c>
      <c r="AQ15" s="4">
        <v>78283.479504289804</v>
      </c>
      <c r="AR15" s="4">
        <v>87624.830421377192</v>
      </c>
      <c r="AS15" s="4">
        <v>89042.049036777593</v>
      </c>
      <c r="AT15" s="66">
        <v>0.1</v>
      </c>
      <c r="AU15" s="66">
        <v>7.0000000000000007E-2</v>
      </c>
      <c r="AV15" s="66">
        <v>0.1</v>
      </c>
      <c r="AW15" s="66">
        <v>7.0000000000000007E-2</v>
      </c>
      <c r="AX15" s="34">
        <v>0.1</v>
      </c>
      <c r="AY15" s="34">
        <v>7.0000000000000007E-2</v>
      </c>
      <c r="AZ15" s="66">
        <v>0.15290000000000001</v>
      </c>
      <c r="BA15" s="66">
        <v>0.1069</v>
      </c>
      <c r="BB15" s="50"/>
      <c r="BC15" s="50"/>
      <c r="BD15" s="36"/>
      <c r="BE15" s="50"/>
      <c r="BF15" s="50"/>
    </row>
    <row r="16" spans="1:58" x14ac:dyDescent="0.25">
      <c r="A16" s="3">
        <v>7</v>
      </c>
      <c r="B16" s="3">
        <v>299</v>
      </c>
      <c r="C16" s="37" t="str">
        <f>IF($J$1="ENG","International Reserve Bank (Sberbank)","Міжнародний резервний банк (Сбербанк)")</f>
        <v>Міжнародний резервний банк (Сбербанк)</v>
      </c>
      <c r="D16" s="3" t="str">
        <f>IF($J$1="ENG","Banks owned by Russia","Банки з державним російським капіталом")</f>
        <v>Банки з державним російським капіталом</v>
      </c>
      <c r="E16" s="4">
        <v>8121.6850000000004</v>
      </c>
      <c r="F16" s="4">
        <v>9104.4529999999995</v>
      </c>
      <c r="G16" s="34">
        <v>0.7016</v>
      </c>
      <c r="H16" s="34">
        <v>0.62590000000000001</v>
      </c>
      <c r="I16" s="4">
        <v>12976.010544815466</v>
      </c>
      <c r="J16" s="137" t="str">
        <f t="shared" si="0"/>
        <v>ні</v>
      </c>
      <c r="K16" s="4">
        <v>8121.6850000000004</v>
      </c>
      <c r="L16" s="4">
        <v>9104.4529999999995</v>
      </c>
      <c r="M16" s="34">
        <v>0.7016</v>
      </c>
      <c r="N16" s="34">
        <v>0.62590000000000001</v>
      </c>
      <c r="O16" s="4">
        <v>12976.010544815466</v>
      </c>
      <c r="P16" s="4">
        <v>9575.0769999999993</v>
      </c>
      <c r="Q16" s="4">
        <v>9007.9750000000004</v>
      </c>
      <c r="R16" s="4">
        <v>9222.2579999999998</v>
      </c>
      <c r="S16" s="4">
        <v>9642.5840000000007</v>
      </c>
      <c r="T16" s="4">
        <v>9075.482</v>
      </c>
      <c r="U16" s="4">
        <v>9289.7649999999994</v>
      </c>
      <c r="V16" s="34">
        <v>0.64129999999999998</v>
      </c>
      <c r="W16" s="34">
        <v>0.53680000000000005</v>
      </c>
      <c r="X16" s="34">
        <v>0.55459999999999998</v>
      </c>
      <c r="Y16" s="34">
        <v>0.63680000000000003</v>
      </c>
      <c r="Z16" s="34">
        <v>0.53280000000000005</v>
      </c>
      <c r="AA16" s="34">
        <v>0.55059999999999998</v>
      </c>
      <c r="AB16" s="4">
        <v>15036.239007537686</v>
      </c>
      <c r="AC16" s="4">
        <v>16906.859984984985</v>
      </c>
      <c r="AD16" s="4">
        <v>16749.469669451508</v>
      </c>
      <c r="AE16" s="4">
        <v>8759.36</v>
      </c>
      <c r="AF16" s="4">
        <v>8955.7440000000006</v>
      </c>
      <c r="AG16" s="4">
        <v>7945.5450000000001</v>
      </c>
      <c r="AH16" s="4">
        <v>8826.8670000000002</v>
      </c>
      <c r="AI16" s="4">
        <v>9023.25</v>
      </c>
      <c r="AJ16" s="4">
        <v>8013.0519999999997</v>
      </c>
      <c r="AK16" s="66">
        <v>0.54579999999999995</v>
      </c>
      <c r="AL16" s="66">
        <v>0.4884</v>
      </c>
      <c r="AM16" s="66">
        <v>0.4178</v>
      </c>
      <c r="AN16" s="66">
        <v>0.54159999999999997</v>
      </c>
      <c r="AO16" s="66">
        <v>0.48470000000000002</v>
      </c>
      <c r="AP16" s="66">
        <v>0.41420000000000001</v>
      </c>
      <c r="AQ16" s="4">
        <v>16173.116691285084</v>
      </c>
      <c r="AR16" s="4">
        <v>18476.880544666805</v>
      </c>
      <c r="AS16" s="4">
        <v>19182.870593915981</v>
      </c>
      <c r="AT16" s="66">
        <v>0.1</v>
      </c>
      <c r="AU16" s="66">
        <v>7.1999999999999995E-2</v>
      </c>
      <c r="AV16" s="66">
        <v>0.11899999999999999</v>
      </c>
      <c r="AW16" s="66">
        <v>0.11899999999999999</v>
      </c>
      <c r="AX16" s="34">
        <v>0.11899999999999999</v>
      </c>
      <c r="AY16" s="34">
        <v>0.11899999999999999</v>
      </c>
      <c r="AZ16" s="66">
        <v>1.4624999999999999</v>
      </c>
      <c r="BA16" s="66">
        <v>1.0645</v>
      </c>
      <c r="BB16" s="50"/>
      <c r="BC16" s="50"/>
      <c r="BD16" s="36"/>
      <c r="BE16" s="50"/>
      <c r="BF16" s="50"/>
    </row>
    <row r="17" spans="1:58" x14ac:dyDescent="0.25">
      <c r="A17" s="3">
        <v>8</v>
      </c>
      <c r="B17" s="3">
        <v>136</v>
      </c>
      <c r="C17" s="37" t="str">
        <f>IF($J$1="ENG","Ukrsibbank","УкрСиббанк")</f>
        <v>УкрСиббанк</v>
      </c>
      <c r="D17" s="3" t="str">
        <f t="shared" ref="D17:D24" si="1">IF($J$1="ENG","Foreign banks","Банки іноземних банківських груп")</f>
        <v>Банки іноземних банківських груп</v>
      </c>
      <c r="E17" s="4">
        <v>6244.5029999999997</v>
      </c>
      <c r="F17" s="4">
        <v>6850.8860000000004</v>
      </c>
      <c r="G17" s="34">
        <v>0.2354</v>
      </c>
      <c r="H17" s="34">
        <v>0.21460000000000001</v>
      </c>
      <c r="I17" s="4">
        <v>29098.33643988816</v>
      </c>
      <c r="J17" s="137" t="str">
        <f t="shared" si="0"/>
        <v>ні</v>
      </c>
      <c r="K17" s="4">
        <v>6244.5029999999997</v>
      </c>
      <c r="L17" s="4">
        <v>6869.0439999999999</v>
      </c>
      <c r="M17" s="34">
        <v>0.2359</v>
      </c>
      <c r="N17" s="34">
        <v>0.2145</v>
      </c>
      <c r="O17" s="4">
        <v>29111.902097902097</v>
      </c>
      <c r="P17" s="4">
        <v>8016.4530000000004</v>
      </c>
      <c r="Q17" s="4">
        <v>8829.7559999999994</v>
      </c>
      <c r="R17" s="4">
        <v>9353.0190000000002</v>
      </c>
      <c r="S17" s="4">
        <v>8021.3</v>
      </c>
      <c r="T17" s="4">
        <v>8834.6039999999994</v>
      </c>
      <c r="U17" s="4">
        <v>9357.866</v>
      </c>
      <c r="V17" s="34">
        <v>0.22270000000000001</v>
      </c>
      <c r="W17" s="34">
        <v>0.21460000000000001</v>
      </c>
      <c r="X17" s="34">
        <v>0.22739999999999999</v>
      </c>
      <c r="Y17" s="34">
        <v>0.22259999999999999</v>
      </c>
      <c r="Z17" s="34">
        <v>0.21440000000000001</v>
      </c>
      <c r="AA17" s="34">
        <v>0.2273</v>
      </c>
      <c r="AB17" s="4">
        <v>36012.816711590298</v>
      </c>
      <c r="AC17" s="4">
        <v>41183.563432835814</v>
      </c>
      <c r="AD17" s="4">
        <v>41148.345798504182</v>
      </c>
      <c r="AE17" s="4">
        <v>6802.8530000000001</v>
      </c>
      <c r="AF17" s="4">
        <v>6251.0619999999999</v>
      </c>
      <c r="AG17" s="4">
        <v>6044.1689999999999</v>
      </c>
      <c r="AH17" s="4">
        <v>6807.7</v>
      </c>
      <c r="AI17" s="4">
        <v>6255.9089999999997</v>
      </c>
      <c r="AJ17" s="4">
        <v>6049.0169999999998</v>
      </c>
      <c r="AK17" s="66">
        <v>0.18429999999999999</v>
      </c>
      <c r="AL17" s="66">
        <v>0.14979999999999999</v>
      </c>
      <c r="AM17" s="66">
        <v>0.14299999999999999</v>
      </c>
      <c r="AN17" s="66">
        <v>0.1842</v>
      </c>
      <c r="AO17" s="66">
        <v>0.1497</v>
      </c>
      <c r="AP17" s="66">
        <v>0.1429</v>
      </c>
      <c r="AQ17" s="4">
        <v>36931.883821932679</v>
      </c>
      <c r="AR17" s="4">
        <v>41757.261189044759</v>
      </c>
      <c r="AS17" s="4">
        <v>42296.494051784466</v>
      </c>
      <c r="AT17" s="66">
        <v>0.1</v>
      </c>
      <c r="AU17" s="66">
        <v>7.0000000000000007E-2</v>
      </c>
      <c r="AV17" s="66">
        <v>0.1</v>
      </c>
      <c r="AW17" s="66">
        <v>7.0000000000000007E-2</v>
      </c>
      <c r="AX17" s="34">
        <v>0.1</v>
      </c>
      <c r="AY17" s="34">
        <v>7.0000000000000007E-2</v>
      </c>
      <c r="AZ17" s="66">
        <v>0.24410000000000001</v>
      </c>
      <c r="BA17" s="66">
        <v>0.20519999999999999</v>
      </c>
      <c r="BB17" s="50"/>
      <c r="BC17" s="50"/>
      <c r="BD17" s="36"/>
      <c r="BE17" s="50"/>
      <c r="BF17" s="50"/>
    </row>
    <row r="18" spans="1:58" x14ac:dyDescent="0.25">
      <c r="A18" s="3">
        <v>9</v>
      </c>
      <c r="B18" s="3">
        <v>296</v>
      </c>
      <c r="C18" s="37" t="str">
        <f>IF($J$1="ENG","OTP Bank","ОТП Банк")</f>
        <v>ОТП Банк</v>
      </c>
      <c r="D18" s="3" t="str">
        <f t="shared" si="1"/>
        <v>Банки іноземних банківських груп</v>
      </c>
      <c r="E18" s="4">
        <v>7066.777</v>
      </c>
      <c r="F18" s="4">
        <v>8621.4670000000006</v>
      </c>
      <c r="G18" s="34">
        <v>0.25359999999999999</v>
      </c>
      <c r="H18" s="34">
        <v>0.2079</v>
      </c>
      <c r="I18" s="4">
        <v>33991.231361231359</v>
      </c>
      <c r="J18" s="137" t="str">
        <f t="shared" si="0"/>
        <v>ні</v>
      </c>
      <c r="K18" s="4">
        <v>7066.777</v>
      </c>
      <c r="L18" s="4">
        <v>8616.1139999999996</v>
      </c>
      <c r="M18" s="34">
        <v>0.2535</v>
      </c>
      <c r="N18" s="34">
        <v>0.2079</v>
      </c>
      <c r="O18" s="4">
        <v>33991.231361231359</v>
      </c>
      <c r="P18" s="4">
        <v>9371.2990000000009</v>
      </c>
      <c r="Q18" s="4">
        <v>11266.343999999999</v>
      </c>
      <c r="R18" s="4">
        <v>12887.083000000001</v>
      </c>
      <c r="S18" s="4">
        <v>9232.1560000000009</v>
      </c>
      <c r="T18" s="4">
        <v>11127.200999999999</v>
      </c>
      <c r="U18" s="4">
        <v>12747.94</v>
      </c>
      <c r="V18" s="34">
        <v>0.22559999999999999</v>
      </c>
      <c r="W18" s="34">
        <v>0.24590000000000001</v>
      </c>
      <c r="X18" s="34">
        <v>0.28220000000000001</v>
      </c>
      <c r="Y18" s="34">
        <v>0.22900000000000001</v>
      </c>
      <c r="Z18" s="34">
        <v>0.249</v>
      </c>
      <c r="AA18" s="34">
        <v>0.28520000000000001</v>
      </c>
      <c r="AB18" s="4">
        <v>40922.703056768558</v>
      </c>
      <c r="AC18" s="4">
        <v>45246.361445783128</v>
      </c>
      <c r="AD18" s="4">
        <v>45186.125525946707</v>
      </c>
      <c r="AE18" s="4">
        <v>7385.4120000000003</v>
      </c>
      <c r="AF18" s="4">
        <v>7703.875</v>
      </c>
      <c r="AG18" s="4">
        <v>8550.4009999999998</v>
      </c>
      <c r="AH18" s="4">
        <v>7246.2690000000002</v>
      </c>
      <c r="AI18" s="4">
        <v>7564.732</v>
      </c>
      <c r="AJ18" s="4">
        <v>8411.2579999999998</v>
      </c>
      <c r="AK18" s="66">
        <v>0.1762</v>
      </c>
      <c r="AL18" s="66">
        <v>0.1686</v>
      </c>
      <c r="AM18" s="66">
        <v>0.1845</v>
      </c>
      <c r="AN18" s="66">
        <v>0.17960000000000001</v>
      </c>
      <c r="AO18" s="66">
        <v>0.17169999999999999</v>
      </c>
      <c r="AP18" s="66">
        <v>0.18759999999999999</v>
      </c>
      <c r="AQ18" s="4">
        <v>41121.447661469931</v>
      </c>
      <c r="AR18" s="4">
        <v>44868.229470005826</v>
      </c>
      <c r="AS18" s="4">
        <v>45577.830490405118</v>
      </c>
      <c r="AT18" s="66">
        <v>0.1</v>
      </c>
      <c r="AU18" s="66">
        <v>7.0000000000000007E-2</v>
      </c>
      <c r="AV18" s="66">
        <v>0.1</v>
      </c>
      <c r="AW18" s="66">
        <v>7.0000000000000007E-2</v>
      </c>
      <c r="AX18" s="34">
        <v>0.1</v>
      </c>
      <c r="AY18" s="34">
        <v>7.0000000000000007E-2</v>
      </c>
      <c r="AZ18" s="66">
        <v>0.22670000000000001</v>
      </c>
      <c r="BA18" s="66">
        <v>0.15959999999999999</v>
      </c>
      <c r="BB18" s="50"/>
      <c r="BC18" s="50"/>
      <c r="BD18" s="36"/>
      <c r="BE18" s="50"/>
      <c r="BF18" s="50"/>
    </row>
    <row r="19" spans="1:58" s="90" customFormat="1" x14ac:dyDescent="0.25">
      <c r="A19" s="3">
        <v>10</v>
      </c>
      <c r="B19" s="3">
        <v>171</v>
      </c>
      <c r="C19" s="37" t="str">
        <f>IF($J$1="ENG","Credit Agricole Bank","Креді Агріколь Банк")</f>
        <v>Креді Агріколь Банк</v>
      </c>
      <c r="D19" s="3" t="str">
        <f t="shared" si="1"/>
        <v>Банки іноземних банківських груп</v>
      </c>
      <c r="E19" s="4">
        <v>3110.6089999999999</v>
      </c>
      <c r="F19" s="4">
        <v>6220.308</v>
      </c>
      <c r="G19" s="34">
        <v>0.17879999999999999</v>
      </c>
      <c r="H19" s="34">
        <v>8.9399999999999993E-2</v>
      </c>
      <c r="I19" s="4">
        <v>34794.284116331095</v>
      </c>
      <c r="J19" s="137" t="str">
        <f t="shared" si="0"/>
        <v>ні</v>
      </c>
      <c r="K19" s="4">
        <v>3110.6089999999999</v>
      </c>
      <c r="L19" s="4">
        <v>6220.308</v>
      </c>
      <c r="M19" s="34">
        <v>0.17879999999999999</v>
      </c>
      <c r="N19" s="34">
        <v>8.9399999999999993E-2</v>
      </c>
      <c r="O19" s="4">
        <v>34794.284116331095</v>
      </c>
      <c r="P19" s="4">
        <v>5903</v>
      </c>
      <c r="Q19" s="4">
        <v>7054.2340000000004</v>
      </c>
      <c r="R19" s="4">
        <v>7879.6490000000003</v>
      </c>
      <c r="S19" s="4">
        <v>6453.5749999999998</v>
      </c>
      <c r="T19" s="4">
        <v>7450.0870000000004</v>
      </c>
      <c r="U19" s="4">
        <v>8108.4229999999998</v>
      </c>
      <c r="V19" s="34">
        <v>0.1676</v>
      </c>
      <c r="W19" s="34">
        <v>0.1787</v>
      </c>
      <c r="X19" s="34">
        <v>0.19470000000000001</v>
      </c>
      <c r="Y19" s="34">
        <v>0.15329999999999999</v>
      </c>
      <c r="Z19" s="34">
        <v>0.16919999999999999</v>
      </c>
      <c r="AA19" s="34">
        <v>0.18920000000000001</v>
      </c>
      <c r="AB19" s="4">
        <v>38506.196999347689</v>
      </c>
      <c r="AC19" s="4">
        <v>41691.690307328608</v>
      </c>
      <c r="AD19" s="4">
        <v>41647.193446088793</v>
      </c>
      <c r="AE19" s="4">
        <v>4707.9380000000001</v>
      </c>
      <c r="AF19" s="4">
        <v>4437.8969999999999</v>
      </c>
      <c r="AG19" s="4">
        <v>4722.2389999999996</v>
      </c>
      <c r="AH19" s="4">
        <v>5352.9979999999996</v>
      </c>
      <c r="AI19" s="4">
        <v>4917.9949999999999</v>
      </c>
      <c r="AJ19" s="4">
        <v>5022.049</v>
      </c>
      <c r="AK19" s="66">
        <v>0.1336</v>
      </c>
      <c r="AL19" s="66">
        <v>0.11459999999999999</v>
      </c>
      <c r="AM19" s="66">
        <v>0.11509999999999999</v>
      </c>
      <c r="AN19" s="66">
        <v>0.11749999999999999</v>
      </c>
      <c r="AO19" s="66">
        <v>0.10340000000000001</v>
      </c>
      <c r="AP19" s="66">
        <v>0.1082</v>
      </c>
      <c r="AQ19" s="4">
        <v>40067.557446808511</v>
      </c>
      <c r="AR19" s="4">
        <v>42919.700193423596</v>
      </c>
      <c r="AS19" s="4">
        <v>43643.613678373375</v>
      </c>
      <c r="AT19" s="66">
        <v>0.1</v>
      </c>
      <c r="AU19" s="66">
        <v>7.0000000000000007E-2</v>
      </c>
      <c r="AV19" s="66">
        <v>0.1</v>
      </c>
      <c r="AW19" s="66">
        <v>7.0000000000000007E-2</v>
      </c>
      <c r="AX19" s="34">
        <v>0.1</v>
      </c>
      <c r="AY19" s="34">
        <v>7.0000000000000007E-2</v>
      </c>
      <c r="AZ19" s="66">
        <v>0.15359999999999999</v>
      </c>
      <c r="BA19" s="66">
        <v>8.8499999999999995E-2</v>
      </c>
      <c r="BB19" s="50"/>
      <c r="BC19" s="50"/>
      <c r="BD19" s="36"/>
      <c r="BE19" s="50"/>
      <c r="BF19" s="50"/>
    </row>
    <row r="20" spans="1:58" x14ac:dyDescent="0.25">
      <c r="A20" s="3">
        <v>11</v>
      </c>
      <c r="B20" s="3">
        <v>298</v>
      </c>
      <c r="C20" s="37" t="str">
        <f>IF($J$1="ENG","Procredit","Прокредит")</f>
        <v>Прокредит</v>
      </c>
      <c r="D20" s="3" t="str">
        <f t="shared" si="1"/>
        <v>Банки іноземних банківських груп</v>
      </c>
      <c r="E20" s="4">
        <v>3240.8150000000001</v>
      </c>
      <c r="F20" s="4">
        <v>3727.9029999999998</v>
      </c>
      <c r="G20" s="34">
        <v>0.17319999999999999</v>
      </c>
      <c r="H20" s="34">
        <v>0.15049999999999999</v>
      </c>
      <c r="I20" s="4">
        <v>21533.654485049836</v>
      </c>
      <c r="J20" s="137" t="str">
        <f t="shared" si="0"/>
        <v>ні</v>
      </c>
      <c r="K20" s="4">
        <v>3240.8150000000001</v>
      </c>
      <c r="L20" s="4">
        <v>3716.692</v>
      </c>
      <c r="M20" s="34">
        <v>0.17269999999999999</v>
      </c>
      <c r="N20" s="34">
        <v>0.15060000000000001</v>
      </c>
      <c r="O20" s="4">
        <v>21519.355909694554</v>
      </c>
      <c r="P20" s="4">
        <v>3719.61</v>
      </c>
      <c r="Q20" s="4">
        <v>4404.2259999999997</v>
      </c>
      <c r="R20" s="4">
        <v>4863.7979999999998</v>
      </c>
      <c r="S20" s="4">
        <v>3719.61</v>
      </c>
      <c r="T20" s="4">
        <v>4404.2259999999997</v>
      </c>
      <c r="U20" s="4">
        <v>4863.7979999999998</v>
      </c>
      <c r="V20" s="34">
        <v>0.16539999999999999</v>
      </c>
      <c r="W20" s="34">
        <v>0.185</v>
      </c>
      <c r="X20" s="34">
        <v>0.20480000000000001</v>
      </c>
      <c r="Y20" s="34">
        <v>0.16539999999999999</v>
      </c>
      <c r="Z20" s="34">
        <v>0.185</v>
      </c>
      <c r="AA20" s="34">
        <v>0.20480000000000001</v>
      </c>
      <c r="AB20" s="4">
        <v>22488.57315598549</v>
      </c>
      <c r="AC20" s="4">
        <v>23806.627027027025</v>
      </c>
      <c r="AD20" s="4">
        <v>23749.013671874996</v>
      </c>
      <c r="AE20" s="4">
        <v>2995.5509999999999</v>
      </c>
      <c r="AF20" s="4">
        <v>2533.5070000000001</v>
      </c>
      <c r="AG20" s="4">
        <v>2733.4380000000001</v>
      </c>
      <c r="AH20" s="4">
        <v>2995.5509999999999</v>
      </c>
      <c r="AI20" s="4">
        <v>2533.5070000000001</v>
      </c>
      <c r="AJ20" s="4">
        <v>2733.4380000000001</v>
      </c>
      <c r="AK20" s="66">
        <v>0.12590000000000001</v>
      </c>
      <c r="AL20" s="66">
        <v>0.1028</v>
      </c>
      <c r="AM20" s="66">
        <v>0.1084</v>
      </c>
      <c r="AN20" s="66">
        <v>0.12590000000000001</v>
      </c>
      <c r="AO20" s="66">
        <v>0.1028</v>
      </c>
      <c r="AP20" s="66">
        <v>0.1084</v>
      </c>
      <c r="AQ20" s="4">
        <v>23793.097696584588</v>
      </c>
      <c r="AR20" s="4">
        <v>24645.009727626461</v>
      </c>
      <c r="AS20" s="4">
        <v>25216.217712177124</v>
      </c>
      <c r="AT20" s="66">
        <v>0.1</v>
      </c>
      <c r="AU20" s="66">
        <v>7.0000000000000007E-2</v>
      </c>
      <c r="AV20" s="66">
        <v>0.1</v>
      </c>
      <c r="AW20" s="66">
        <v>7.0000000000000007E-2</v>
      </c>
      <c r="AX20" s="34">
        <v>0.1</v>
      </c>
      <c r="AY20" s="34">
        <v>7.0000000000000007E-2</v>
      </c>
      <c r="AZ20" s="66">
        <v>0.15590000000000001</v>
      </c>
      <c r="BA20" s="66">
        <v>0.13320000000000001</v>
      </c>
      <c r="BB20" s="50"/>
      <c r="BC20" s="50"/>
      <c r="BD20" s="36"/>
      <c r="BE20" s="50"/>
      <c r="BF20" s="50"/>
    </row>
    <row r="21" spans="1:58" x14ac:dyDescent="0.25">
      <c r="A21" s="3">
        <v>12</v>
      </c>
      <c r="B21" s="3">
        <v>88</v>
      </c>
      <c r="C21" s="37" t="str">
        <f>IF($J$1="ENG","Kredobank","Кредобанк")</f>
        <v>Кредобанк</v>
      </c>
      <c r="D21" s="3" t="str">
        <f t="shared" si="1"/>
        <v>Банки іноземних банківських груп</v>
      </c>
      <c r="E21" s="4">
        <v>2045.412</v>
      </c>
      <c r="F21" s="4">
        <v>2151.3200000000002</v>
      </c>
      <c r="G21" s="34">
        <v>0.1535</v>
      </c>
      <c r="H21" s="34">
        <v>0.14599999999999999</v>
      </c>
      <c r="I21" s="4">
        <v>14009.671232876713</v>
      </c>
      <c r="J21" s="137" t="str">
        <f t="shared" si="0"/>
        <v>ні</v>
      </c>
      <c r="K21" s="4">
        <v>2045.412</v>
      </c>
      <c r="L21" s="4">
        <v>2151.3200000000002</v>
      </c>
      <c r="M21" s="34">
        <v>0.1535</v>
      </c>
      <c r="N21" s="34">
        <v>0.14599999999999999</v>
      </c>
      <c r="O21" s="4">
        <v>14009.671232876713</v>
      </c>
      <c r="P21" s="4">
        <v>2508.6790000000001</v>
      </c>
      <c r="Q21" s="4">
        <v>2938.6149999999998</v>
      </c>
      <c r="R21" s="4">
        <v>3223.1729999999998</v>
      </c>
      <c r="S21" s="4">
        <v>2614.587</v>
      </c>
      <c r="T21" s="4">
        <v>3044.5230000000001</v>
      </c>
      <c r="U21" s="4">
        <v>3329.08</v>
      </c>
      <c r="V21" s="34">
        <v>0.1593</v>
      </c>
      <c r="W21" s="34">
        <v>0.16700000000000001</v>
      </c>
      <c r="X21" s="34">
        <v>0.18290000000000001</v>
      </c>
      <c r="Y21" s="34">
        <v>0.15279999999999999</v>
      </c>
      <c r="Z21" s="34">
        <v>0.16120000000000001</v>
      </c>
      <c r="AA21" s="34">
        <v>0.17699999999999999</v>
      </c>
      <c r="AB21" s="4">
        <v>16418.056282722515</v>
      </c>
      <c r="AC21" s="4">
        <v>18229.621588089329</v>
      </c>
      <c r="AD21" s="4">
        <v>18210.016949152541</v>
      </c>
      <c r="AE21" s="4">
        <v>970.476</v>
      </c>
      <c r="AF21" s="4">
        <v>864.86300000000006</v>
      </c>
      <c r="AG21" s="4">
        <v>1055.8800000000001</v>
      </c>
      <c r="AH21" s="4">
        <v>1076.383</v>
      </c>
      <c r="AI21" s="4">
        <v>970.77099999999996</v>
      </c>
      <c r="AJ21" s="4">
        <v>1161.788</v>
      </c>
      <c r="AK21" s="66">
        <v>6.4899999999999999E-2</v>
      </c>
      <c r="AL21" s="66">
        <v>5.3699999999999998E-2</v>
      </c>
      <c r="AM21" s="66">
        <v>6.3500000000000001E-2</v>
      </c>
      <c r="AN21" s="66">
        <v>5.8599999999999999E-2</v>
      </c>
      <c r="AO21" s="66">
        <v>4.7899999999999998E-2</v>
      </c>
      <c r="AP21" s="66">
        <v>5.7700000000000001E-2</v>
      </c>
      <c r="AQ21" s="4">
        <v>16561.023890784982</v>
      </c>
      <c r="AR21" s="4">
        <v>18055.594989561589</v>
      </c>
      <c r="AS21" s="4">
        <v>18299.48006932409</v>
      </c>
      <c r="AT21" s="66">
        <v>0.1</v>
      </c>
      <c r="AU21" s="66">
        <v>7.0000000000000007E-2</v>
      </c>
      <c r="AV21" s="66">
        <v>0.11899999999999999</v>
      </c>
      <c r="AW21" s="66">
        <v>0.11899999999999999</v>
      </c>
      <c r="AX21" s="34">
        <v>0.1</v>
      </c>
      <c r="AY21" s="34">
        <v>7.0000000000000007E-2</v>
      </c>
      <c r="AZ21" s="66">
        <v>0.1394</v>
      </c>
      <c r="BA21" s="66">
        <v>0.13439999999999999</v>
      </c>
      <c r="BB21" s="50"/>
      <c r="BC21" s="50"/>
      <c r="BD21" s="36"/>
      <c r="BE21" s="50"/>
      <c r="BF21" s="50"/>
    </row>
    <row r="22" spans="1:58" x14ac:dyDescent="0.25">
      <c r="A22" s="3">
        <v>13</v>
      </c>
      <c r="B22" s="3">
        <v>142</v>
      </c>
      <c r="C22" s="37" t="str">
        <f>IF($J$1="ENG","Idea Bank","Ідея Банк")</f>
        <v>Ідея Банк</v>
      </c>
      <c r="D22" s="3" t="str">
        <f t="shared" si="1"/>
        <v>Банки іноземних банківських груп</v>
      </c>
      <c r="E22" s="4">
        <v>472.23899999999998</v>
      </c>
      <c r="F22" s="4">
        <v>891.15099999999995</v>
      </c>
      <c r="G22" s="34">
        <v>0.21060000000000001</v>
      </c>
      <c r="H22" s="34">
        <v>0.1116</v>
      </c>
      <c r="I22" s="4">
        <v>4231.5322580645161</v>
      </c>
      <c r="J22" s="137" t="str">
        <f t="shared" si="0"/>
        <v>ні</v>
      </c>
      <c r="K22" s="4">
        <v>472.23899999999998</v>
      </c>
      <c r="L22" s="4">
        <v>891.15099999999995</v>
      </c>
      <c r="M22" s="34">
        <v>0.21060000000000001</v>
      </c>
      <c r="N22" s="34">
        <v>0.1116</v>
      </c>
      <c r="O22" s="4">
        <v>4231.5322580645161</v>
      </c>
      <c r="P22" s="4">
        <v>1149.6500000000001</v>
      </c>
      <c r="Q22" s="4">
        <v>1667.9480000000001</v>
      </c>
      <c r="R22" s="4">
        <v>2147.6080000000002</v>
      </c>
      <c r="S22" s="4">
        <v>1193.8240000000001</v>
      </c>
      <c r="T22" s="4">
        <v>1695.549</v>
      </c>
      <c r="U22" s="4">
        <v>2175.2089999999998</v>
      </c>
      <c r="V22" s="34">
        <v>0.16489999999999999</v>
      </c>
      <c r="W22" s="34">
        <v>0.19789999999999999</v>
      </c>
      <c r="X22" s="34">
        <v>0.25480000000000003</v>
      </c>
      <c r="Y22" s="34">
        <v>0.1588</v>
      </c>
      <c r="Z22" s="34">
        <v>0.19470000000000001</v>
      </c>
      <c r="AA22" s="34">
        <v>0.25159999999999999</v>
      </c>
      <c r="AB22" s="4">
        <v>7239.6095717884136</v>
      </c>
      <c r="AC22" s="4">
        <v>8566.7591165896247</v>
      </c>
      <c r="AD22" s="4">
        <v>8535.8028616852152</v>
      </c>
      <c r="AE22" s="4">
        <v>995.25599999999997</v>
      </c>
      <c r="AF22" s="4">
        <v>1303.3620000000001</v>
      </c>
      <c r="AG22" s="4">
        <v>1782.402</v>
      </c>
      <c r="AH22" s="4">
        <v>1042.269</v>
      </c>
      <c r="AI22" s="4">
        <v>1330.963</v>
      </c>
      <c r="AJ22" s="4">
        <v>1810.0029999999999</v>
      </c>
      <c r="AK22" s="66">
        <v>0.14810000000000001</v>
      </c>
      <c r="AL22" s="66">
        <v>0.1646</v>
      </c>
      <c r="AM22" s="66">
        <v>0.22539999999999999</v>
      </c>
      <c r="AN22" s="66">
        <v>0.14149999999999999</v>
      </c>
      <c r="AO22" s="66">
        <v>0.16120000000000001</v>
      </c>
      <c r="AP22" s="66">
        <v>0.222</v>
      </c>
      <c r="AQ22" s="4">
        <v>7033.611307420495</v>
      </c>
      <c r="AR22" s="4">
        <v>8085.3722084367246</v>
      </c>
      <c r="AS22" s="4">
        <v>8028.8378378378384</v>
      </c>
      <c r="AT22" s="66">
        <v>0.1</v>
      </c>
      <c r="AU22" s="66">
        <v>7.0000000000000007E-2</v>
      </c>
      <c r="AV22" s="66">
        <v>0.1</v>
      </c>
      <c r="AW22" s="135">
        <v>7.0000000000000007E-2</v>
      </c>
      <c r="AX22" s="136">
        <v>0.1</v>
      </c>
      <c r="AY22" s="136">
        <v>7.0000000000000007E-2</v>
      </c>
      <c r="AZ22" s="135">
        <v>0.20799999999999999</v>
      </c>
      <c r="BA22" s="66">
        <v>0.1207</v>
      </c>
      <c r="BB22" s="50"/>
      <c r="BC22" s="50"/>
      <c r="BD22" s="36"/>
      <c r="BE22" s="50"/>
      <c r="BF22" s="50"/>
    </row>
    <row r="23" spans="1:58" x14ac:dyDescent="0.25">
      <c r="A23" s="3">
        <v>14</v>
      </c>
      <c r="B23" s="3">
        <v>153</v>
      </c>
      <c r="C23" s="127" t="str">
        <f>IF($J$1="ENG","Pravex","Правекс")</f>
        <v>Правекс</v>
      </c>
      <c r="D23" s="3" t="str">
        <f t="shared" si="1"/>
        <v>Банки іноземних банківських груп</v>
      </c>
      <c r="E23" s="4">
        <v>1295.915</v>
      </c>
      <c r="F23" s="4">
        <v>1354.433</v>
      </c>
      <c r="G23" s="34">
        <v>0.35720000000000002</v>
      </c>
      <c r="H23" s="34">
        <v>0.3417</v>
      </c>
      <c r="I23" s="4">
        <v>3792.5519461515946</v>
      </c>
      <c r="J23" s="137" t="str">
        <f t="shared" si="0"/>
        <v>ні</v>
      </c>
      <c r="K23" s="52">
        <v>1297.0619999999999</v>
      </c>
      <c r="L23" s="52">
        <v>1355.58</v>
      </c>
      <c r="M23" s="34">
        <v>0.35720000000000002</v>
      </c>
      <c r="N23" s="34">
        <v>0.3417</v>
      </c>
      <c r="O23" s="4">
        <v>3795.9086918349426</v>
      </c>
      <c r="P23" s="4">
        <v>1140.221</v>
      </c>
      <c r="Q23" s="4">
        <v>975.67499999999995</v>
      </c>
      <c r="R23" s="4">
        <v>754.83699999999999</v>
      </c>
      <c r="S23" s="4">
        <v>1198.74</v>
      </c>
      <c r="T23" s="4">
        <v>1034.193</v>
      </c>
      <c r="U23" s="4">
        <v>813.35500000000002</v>
      </c>
      <c r="V23" s="34">
        <v>0.27100000000000002</v>
      </c>
      <c r="W23" s="34">
        <v>0.21190000000000001</v>
      </c>
      <c r="X23" s="34">
        <v>0.16700000000000001</v>
      </c>
      <c r="Y23" s="34">
        <v>0.25779999999999997</v>
      </c>
      <c r="Z23" s="34">
        <v>0.19989999999999999</v>
      </c>
      <c r="AA23" s="34">
        <v>0.155</v>
      </c>
      <c r="AB23" s="4">
        <v>4422.8898370830102</v>
      </c>
      <c r="AC23" s="4">
        <v>4880.8154077038516</v>
      </c>
      <c r="AD23" s="4">
        <v>4869.9161290322581</v>
      </c>
      <c r="AE23" s="4">
        <v>831.346</v>
      </c>
      <c r="AF23" s="4">
        <v>553.19200000000001</v>
      </c>
      <c r="AG23" s="4">
        <v>324.91300000000001</v>
      </c>
      <c r="AH23" s="4">
        <v>889.86500000000001</v>
      </c>
      <c r="AI23" s="4">
        <v>611.71100000000001</v>
      </c>
      <c r="AJ23" s="4">
        <v>383.43099999999998</v>
      </c>
      <c r="AK23" s="66">
        <v>0.19439999999999999</v>
      </c>
      <c r="AL23" s="66">
        <v>0.1207</v>
      </c>
      <c r="AM23" s="66">
        <v>7.3599999999999999E-2</v>
      </c>
      <c r="AN23" s="66">
        <v>0.18160000000000001</v>
      </c>
      <c r="AO23" s="66">
        <v>0.10920000000000001</v>
      </c>
      <c r="AP23" s="66">
        <v>6.2399999999999997E-2</v>
      </c>
      <c r="AQ23" s="4">
        <v>4577.8964757709246</v>
      </c>
      <c r="AR23" s="4">
        <v>5065.8608058608061</v>
      </c>
      <c r="AS23" s="4">
        <v>5206.9391025641025</v>
      </c>
      <c r="AT23" s="66">
        <v>0.21299999999999999</v>
      </c>
      <c r="AU23" s="66">
        <v>0.21299999999999999</v>
      </c>
      <c r="AV23" s="66">
        <v>0.29099999999999998</v>
      </c>
      <c r="AW23" s="135">
        <v>0.29099999999999998</v>
      </c>
      <c r="AX23" s="136">
        <v>0.25800000000000001</v>
      </c>
      <c r="AY23" s="136">
        <v>0.25800000000000001</v>
      </c>
      <c r="AZ23" s="135">
        <v>0.26419999999999999</v>
      </c>
      <c r="BA23" s="66">
        <v>0.25190000000000001</v>
      </c>
      <c r="BB23" s="50"/>
      <c r="BC23" s="50"/>
      <c r="BD23" s="36"/>
      <c r="BE23" s="50"/>
      <c r="BF23" s="50"/>
    </row>
    <row r="24" spans="1:58" x14ac:dyDescent="0.25">
      <c r="A24" s="3">
        <v>15</v>
      </c>
      <c r="B24" s="3">
        <v>325</v>
      </c>
      <c r="C24" s="37" t="str">
        <f>IF($J$1="ENG","Forward","Форвард")</f>
        <v>Форвард</v>
      </c>
      <c r="D24" s="3" t="str">
        <f t="shared" si="1"/>
        <v>Банки іноземних банківських груп</v>
      </c>
      <c r="E24" s="4">
        <v>248.00399999999999</v>
      </c>
      <c r="F24" s="4">
        <v>248.00399999999999</v>
      </c>
      <c r="G24" s="34">
        <v>0.1221</v>
      </c>
      <c r="H24" s="34">
        <v>0.1221</v>
      </c>
      <c r="I24" s="4">
        <v>2031.1547911547912</v>
      </c>
      <c r="J24" s="137" t="str">
        <f t="shared" si="0"/>
        <v>ні</v>
      </c>
      <c r="K24" s="4">
        <v>229.42599999999999</v>
      </c>
      <c r="L24" s="4">
        <v>229.42599999999999</v>
      </c>
      <c r="M24" s="34">
        <v>0.114</v>
      </c>
      <c r="N24" s="34">
        <v>0.114</v>
      </c>
      <c r="O24" s="4">
        <v>2012.5087719298244</v>
      </c>
      <c r="P24" s="4">
        <v>222.28200000000001</v>
      </c>
      <c r="Q24" s="4">
        <v>220.78200000000001</v>
      </c>
      <c r="R24" s="4">
        <v>194.346</v>
      </c>
      <c r="S24" s="4">
        <v>222.28200000000001</v>
      </c>
      <c r="T24" s="4">
        <v>220.78200000000001</v>
      </c>
      <c r="U24" s="4">
        <v>194.346</v>
      </c>
      <c r="V24" s="34">
        <v>7.4300000000000005E-2</v>
      </c>
      <c r="W24" s="34">
        <v>6.59E-2</v>
      </c>
      <c r="X24" s="34">
        <v>5.8200000000000002E-2</v>
      </c>
      <c r="Y24" s="34">
        <v>7.4300000000000005E-2</v>
      </c>
      <c r="Z24" s="34">
        <v>6.59E-2</v>
      </c>
      <c r="AA24" s="34">
        <v>5.8200000000000002E-2</v>
      </c>
      <c r="AB24" s="4">
        <v>2991.6823687752353</v>
      </c>
      <c r="AC24" s="4">
        <v>3350.257966616085</v>
      </c>
      <c r="AD24" s="4">
        <v>3339.2783505154639</v>
      </c>
      <c r="AE24" s="4">
        <v>126.964</v>
      </c>
      <c r="AF24" s="4">
        <v>-1.105</v>
      </c>
      <c r="AG24" s="4">
        <v>-57.915999999999997</v>
      </c>
      <c r="AH24" s="4">
        <v>126.964</v>
      </c>
      <c r="AI24" s="4">
        <v>-1.105</v>
      </c>
      <c r="AJ24" s="4">
        <v>-57.915999999999997</v>
      </c>
      <c r="AK24" s="66">
        <v>4.3099999999999999E-2</v>
      </c>
      <c r="AL24" s="66">
        <v>-2.9999999999999997E-4</v>
      </c>
      <c r="AM24" s="66">
        <v>-1.7999999999999999E-2</v>
      </c>
      <c r="AN24" s="66">
        <v>4.3099999999999999E-2</v>
      </c>
      <c r="AO24" s="66">
        <v>-2.9999999999999997E-4</v>
      </c>
      <c r="AP24" s="66">
        <v>-1.7999999999999999E-2</v>
      </c>
      <c r="AQ24" s="4">
        <v>2945.8004640371228</v>
      </c>
      <c r="AR24" s="4">
        <v>3683.3333333333335</v>
      </c>
      <c r="AS24" s="4">
        <v>3217.5555555555557</v>
      </c>
      <c r="AT24" s="66">
        <v>0.11700000000000001</v>
      </c>
      <c r="AU24" s="66">
        <v>8.6999999999999994E-2</v>
      </c>
      <c r="AV24" s="66">
        <v>0.193</v>
      </c>
      <c r="AW24" s="135">
        <v>0.17799999999999999</v>
      </c>
      <c r="AX24" s="136">
        <v>0.193</v>
      </c>
      <c r="AY24" s="136">
        <v>0.17799999999999999</v>
      </c>
      <c r="AZ24" s="135">
        <v>0.1183</v>
      </c>
      <c r="BA24" s="66">
        <v>0.1183</v>
      </c>
      <c r="BB24" s="50"/>
      <c r="BC24" s="50"/>
      <c r="BD24" s="36"/>
      <c r="BE24" s="50"/>
      <c r="BF24" s="50"/>
    </row>
    <row r="25" spans="1:58" x14ac:dyDescent="0.25">
      <c r="A25" s="3">
        <v>16</v>
      </c>
      <c r="B25" s="3">
        <v>115</v>
      </c>
      <c r="C25" s="37" t="str">
        <f>IF($J$1="ENG","FUIB","ПУМБ")</f>
        <v>ПУМБ</v>
      </c>
      <c r="D25" s="3" t="str">
        <f t="shared" ref="D25:D32" si="2">IF($J$1="ENG","Private banks","Банки з приватним капіталом")</f>
        <v>Банки з приватним капіталом</v>
      </c>
      <c r="E25" s="4">
        <v>6223.7830000000004</v>
      </c>
      <c r="F25" s="4">
        <v>8346.7180000000008</v>
      </c>
      <c r="G25" s="34">
        <v>0.17879999999999999</v>
      </c>
      <c r="H25" s="34">
        <v>0.1333</v>
      </c>
      <c r="I25" s="4">
        <v>46690.045011252812</v>
      </c>
      <c r="J25" s="137" t="str">
        <f t="shared" si="0"/>
        <v>ні</v>
      </c>
      <c r="K25" s="4">
        <v>6223.7830000000004</v>
      </c>
      <c r="L25" s="4">
        <v>8214.8189999999995</v>
      </c>
      <c r="M25" s="34">
        <v>0.17649999999999999</v>
      </c>
      <c r="N25" s="34">
        <v>0.13370000000000001</v>
      </c>
      <c r="O25" s="4">
        <v>46550.359012715031</v>
      </c>
      <c r="P25" s="4">
        <v>9560.5630000000001</v>
      </c>
      <c r="Q25" s="4">
        <v>12684.795</v>
      </c>
      <c r="R25" s="4">
        <v>15184.441999999999</v>
      </c>
      <c r="S25" s="4">
        <v>9865.884</v>
      </c>
      <c r="T25" s="4">
        <v>12990.115</v>
      </c>
      <c r="U25" s="4">
        <v>15489.762000000001</v>
      </c>
      <c r="V25" s="34">
        <v>0.1671</v>
      </c>
      <c r="W25" s="34">
        <v>0.19869999999999999</v>
      </c>
      <c r="X25" s="34">
        <v>0.23719999999999999</v>
      </c>
      <c r="Y25" s="34">
        <v>0.16189999999999999</v>
      </c>
      <c r="Z25" s="34">
        <v>0.19400000000000001</v>
      </c>
      <c r="AA25" s="34">
        <v>0.2326</v>
      </c>
      <c r="AB25" s="4">
        <v>59052.273008029653</v>
      </c>
      <c r="AC25" s="4">
        <v>65385.541237113401</v>
      </c>
      <c r="AD25" s="4">
        <v>65281.349957007733</v>
      </c>
      <c r="AE25" s="4">
        <v>6097.7569999999996</v>
      </c>
      <c r="AF25" s="4">
        <v>6873.268</v>
      </c>
      <c r="AG25" s="4">
        <v>8736.1290000000008</v>
      </c>
      <c r="AH25" s="4">
        <v>6403.0770000000002</v>
      </c>
      <c r="AI25" s="4">
        <v>7178.5889999999999</v>
      </c>
      <c r="AJ25" s="4">
        <v>9041.4490000000005</v>
      </c>
      <c r="AK25" s="66">
        <v>0.1061</v>
      </c>
      <c r="AL25" s="66">
        <v>0.10970000000000001</v>
      </c>
      <c r="AM25" s="66">
        <v>0.13589999999999999</v>
      </c>
      <c r="AN25" s="66">
        <v>0.10100000000000001</v>
      </c>
      <c r="AO25" s="66">
        <v>0.1051</v>
      </c>
      <c r="AP25" s="66">
        <v>0.1313</v>
      </c>
      <c r="AQ25" s="4">
        <v>60373.831683168311</v>
      </c>
      <c r="AR25" s="4">
        <v>65397.411988582302</v>
      </c>
      <c r="AS25" s="4">
        <v>66535.635948210213</v>
      </c>
      <c r="AT25" s="66">
        <v>0.1</v>
      </c>
      <c r="AU25" s="66">
        <v>7.0000000000000007E-2</v>
      </c>
      <c r="AV25" s="66">
        <v>0.1</v>
      </c>
      <c r="AW25" s="135">
        <v>7.0000000000000007E-2</v>
      </c>
      <c r="AX25" s="136">
        <v>0.1</v>
      </c>
      <c r="AY25" s="136">
        <v>7.0000000000000007E-2</v>
      </c>
      <c r="AZ25" s="135">
        <v>0.16439999999999999</v>
      </c>
      <c r="BA25" s="66">
        <v>0.1116</v>
      </c>
      <c r="BB25" s="50"/>
      <c r="BC25" s="50"/>
      <c r="BD25" s="36"/>
      <c r="BE25" s="50"/>
      <c r="BF25" s="50"/>
    </row>
    <row r="26" spans="1:58" x14ac:dyDescent="0.25">
      <c r="A26" s="3">
        <v>17</v>
      </c>
      <c r="B26" s="3">
        <v>106</v>
      </c>
      <c r="C26" s="37" t="str">
        <f>IF($J$1="ENG","Pivdennyi","Південний")</f>
        <v>Південний</v>
      </c>
      <c r="D26" s="3" t="str">
        <f t="shared" si="2"/>
        <v>Банки з приватним капіталом</v>
      </c>
      <c r="E26" s="4">
        <v>2263.0070000000001</v>
      </c>
      <c r="F26" s="4">
        <v>2857.3470000000002</v>
      </c>
      <c r="G26" s="34">
        <v>0.14269999999999999</v>
      </c>
      <c r="H26" s="34">
        <v>0.11310000000000001</v>
      </c>
      <c r="I26" s="4">
        <v>20008.903625110521</v>
      </c>
      <c r="J26" s="137" t="str">
        <f t="shared" si="0"/>
        <v>ні</v>
      </c>
      <c r="K26" s="4">
        <v>2263.0070000000001</v>
      </c>
      <c r="L26" s="4">
        <v>2857.261</v>
      </c>
      <c r="M26" s="34">
        <v>0.14269999999999999</v>
      </c>
      <c r="N26" s="34">
        <v>0.11310000000000001</v>
      </c>
      <c r="O26" s="4">
        <v>20008.903625110521</v>
      </c>
      <c r="P26" s="4">
        <v>3061.2570000000001</v>
      </c>
      <c r="Q26" s="4">
        <v>3512.694</v>
      </c>
      <c r="R26" s="4">
        <v>3650.8029999999999</v>
      </c>
      <c r="S26" s="4">
        <v>3117.4209999999998</v>
      </c>
      <c r="T26" s="4">
        <v>3562.2890000000002</v>
      </c>
      <c r="U26" s="4">
        <v>3693.3719999999998</v>
      </c>
      <c r="V26" s="34">
        <v>0.14349999999999999</v>
      </c>
      <c r="W26" s="34">
        <v>0.14949999999999999</v>
      </c>
      <c r="X26" s="34">
        <v>0.15659999999999999</v>
      </c>
      <c r="Y26" s="34">
        <v>0.1409</v>
      </c>
      <c r="Z26" s="34">
        <v>0.1474</v>
      </c>
      <c r="AA26" s="34">
        <v>0.15479999999999999</v>
      </c>
      <c r="AB26" s="4">
        <v>21726.451383960255</v>
      </c>
      <c r="AC26" s="4">
        <v>23831.031207598371</v>
      </c>
      <c r="AD26" s="4">
        <v>23583.998708010335</v>
      </c>
      <c r="AE26" s="4">
        <v>1642.336</v>
      </c>
      <c r="AF26" s="4">
        <v>985.54200000000003</v>
      </c>
      <c r="AG26" s="4">
        <v>615.89599999999996</v>
      </c>
      <c r="AH26" s="4">
        <v>1702.0260000000001</v>
      </c>
      <c r="AI26" s="4">
        <v>1038.1099999999999</v>
      </c>
      <c r="AJ26" s="4">
        <v>660.62300000000005</v>
      </c>
      <c r="AK26" s="66">
        <v>7.2700000000000001E-2</v>
      </c>
      <c r="AL26" s="66">
        <v>4.0800000000000003E-2</v>
      </c>
      <c r="AM26" s="66">
        <v>2.5399999999999999E-2</v>
      </c>
      <c r="AN26" s="66">
        <v>7.0099999999999996E-2</v>
      </c>
      <c r="AO26" s="66">
        <v>3.8800000000000001E-2</v>
      </c>
      <c r="AP26" s="66">
        <v>2.3699999999999999E-2</v>
      </c>
      <c r="AQ26" s="4">
        <v>23428.473609129815</v>
      </c>
      <c r="AR26" s="4">
        <v>25400.567010309278</v>
      </c>
      <c r="AS26" s="4">
        <v>25987.172995780591</v>
      </c>
      <c r="AT26" s="66">
        <v>0.1</v>
      </c>
      <c r="AU26" s="66">
        <v>7.0000000000000007E-2</v>
      </c>
      <c r="AV26" s="66">
        <v>0.158</v>
      </c>
      <c r="AW26" s="135">
        <v>0.14299999999999999</v>
      </c>
      <c r="AX26" s="136">
        <v>0.11</v>
      </c>
      <c r="AY26" s="136">
        <v>9.5000000000000001E-2</v>
      </c>
      <c r="AZ26" s="135">
        <v>0.15310000000000001</v>
      </c>
      <c r="BA26" s="66">
        <v>0.1069</v>
      </c>
      <c r="BB26" s="50"/>
      <c r="BC26" s="50"/>
      <c r="BD26" s="36"/>
      <c r="BE26" s="50"/>
      <c r="BF26" s="50"/>
    </row>
    <row r="27" spans="1:58" x14ac:dyDescent="0.25">
      <c r="A27" s="3">
        <v>18</v>
      </c>
      <c r="B27" s="3">
        <v>62</v>
      </c>
      <c r="C27" s="37" t="str">
        <f>IF($J$1="ENG","Taskombank","Таскомбанк")</f>
        <v>Таскомбанк</v>
      </c>
      <c r="D27" s="3" t="str">
        <f t="shared" si="2"/>
        <v>Банки з приватним капіталом</v>
      </c>
      <c r="E27" s="4">
        <v>1798.174</v>
      </c>
      <c r="F27" s="4">
        <v>2619.2979999999998</v>
      </c>
      <c r="G27" s="34">
        <v>0.1832</v>
      </c>
      <c r="H27" s="34">
        <v>0.1258</v>
      </c>
      <c r="I27" s="4">
        <v>14293.910969793324</v>
      </c>
      <c r="J27" s="137" t="str">
        <f t="shared" si="0"/>
        <v>ні</v>
      </c>
      <c r="K27" s="4">
        <v>1798.174</v>
      </c>
      <c r="L27" s="4">
        <v>2619.3119999999999</v>
      </c>
      <c r="M27" s="34">
        <v>0.1832</v>
      </c>
      <c r="N27" s="34">
        <v>0.1258</v>
      </c>
      <c r="O27" s="4">
        <v>14293.910969793324</v>
      </c>
      <c r="P27" s="4">
        <v>2304.8539999999998</v>
      </c>
      <c r="Q27" s="4">
        <v>2521.4520000000002</v>
      </c>
      <c r="R27" s="4">
        <v>2399.1909999999998</v>
      </c>
      <c r="S27" s="4">
        <v>2317.34</v>
      </c>
      <c r="T27" s="4">
        <v>2533.9369999999999</v>
      </c>
      <c r="U27" s="4">
        <v>2411.6770000000001</v>
      </c>
      <c r="V27" s="34">
        <v>0.14169999999999999</v>
      </c>
      <c r="W27" s="34">
        <v>0.1401</v>
      </c>
      <c r="X27" s="34">
        <v>0.1351</v>
      </c>
      <c r="Y27" s="34">
        <v>0.14099999999999999</v>
      </c>
      <c r="Z27" s="34">
        <v>0.1394</v>
      </c>
      <c r="AA27" s="34">
        <v>0.13439999999999999</v>
      </c>
      <c r="AB27" s="4">
        <v>16346.482269503545</v>
      </c>
      <c r="AC27" s="4">
        <v>18087.890961262558</v>
      </c>
      <c r="AD27" s="4">
        <v>17851.123511904763</v>
      </c>
      <c r="AE27" s="4">
        <v>945.19899999999996</v>
      </c>
      <c r="AF27" s="4">
        <v>397.87099999999998</v>
      </c>
      <c r="AG27" s="4">
        <v>-20.934999999999999</v>
      </c>
      <c r="AH27" s="4">
        <v>957.68399999999997</v>
      </c>
      <c r="AI27" s="4">
        <v>410.35700000000003</v>
      </c>
      <c r="AJ27" s="4">
        <v>-20.934999999999999</v>
      </c>
      <c r="AK27" s="66">
        <v>5.7599999999999998E-2</v>
      </c>
      <c r="AL27" s="66">
        <v>2.2499999999999999E-2</v>
      </c>
      <c r="AM27" s="66">
        <v>-1.1000000000000001E-3</v>
      </c>
      <c r="AN27" s="66">
        <v>5.6899999999999999E-2</v>
      </c>
      <c r="AO27" s="66">
        <v>2.18E-2</v>
      </c>
      <c r="AP27" s="66">
        <v>-1.1000000000000001E-3</v>
      </c>
      <c r="AQ27" s="4">
        <v>16611.581722319857</v>
      </c>
      <c r="AR27" s="4">
        <v>18250.963302752294</v>
      </c>
      <c r="AS27" s="4">
        <v>19031.81818181818</v>
      </c>
      <c r="AT27" s="66">
        <v>0.1</v>
      </c>
      <c r="AU27" s="66">
        <v>7.0000000000000007E-2</v>
      </c>
      <c r="AV27" s="66">
        <v>0.21299999999999999</v>
      </c>
      <c r="AW27" s="135">
        <v>0.19800000000000001</v>
      </c>
      <c r="AX27" s="136">
        <v>0.1</v>
      </c>
      <c r="AY27" s="136">
        <v>7.0000000000000007E-2</v>
      </c>
      <c r="AZ27" s="135">
        <v>0.1696</v>
      </c>
      <c r="BA27" s="66">
        <v>0.1263</v>
      </c>
      <c r="BB27" s="50"/>
      <c r="BC27" s="50"/>
      <c r="BD27" s="36"/>
      <c r="BE27" s="50"/>
      <c r="BF27" s="50"/>
    </row>
    <row r="28" spans="1:58" x14ac:dyDescent="0.25">
      <c r="A28" s="3">
        <v>19</v>
      </c>
      <c r="B28" s="3">
        <v>242</v>
      </c>
      <c r="C28" s="37" t="str">
        <f>IF($J$1="ENG","Universal","Універсал")</f>
        <v>Універсал</v>
      </c>
      <c r="D28" s="3" t="str">
        <f t="shared" si="2"/>
        <v>Банки з приватним капіталом</v>
      </c>
      <c r="E28" s="4">
        <v>1944.104</v>
      </c>
      <c r="F28" s="4">
        <v>2633.087</v>
      </c>
      <c r="G28" s="34">
        <v>0.14280000000000001</v>
      </c>
      <c r="H28" s="34">
        <v>0.10539999999999999</v>
      </c>
      <c r="I28" s="4">
        <v>18445.009487666037</v>
      </c>
      <c r="J28" s="137" t="str">
        <f t="shared" si="0"/>
        <v>ні</v>
      </c>
      <c r="K28" s="4">
        <v>1944.104</v>
      </c>
      <c r="L28" s="4">
        <v>2633.087</v>
      </c>
      <c r="M28" s="34">
        <v>0.14280000000000001</v>
      </c>
      <c r="N28" s="34">
        <v>0.10539999999999999</v>
      </c>
      <c r="O28" s="4">
        <v>18445.009487666037</v>
      </c>
      <c r="P28" s="4">
        <v>3725.6329999999998</v>
      </c>
      <c r="Q28" s="4">
        <v>4900.4290000000001</v>
      </c>
      <c r="R28" s="4">
        <v>5928.17</v>
      </c>
      <c r="S28" s="4">
        <v>3725.6329999999998</v>
      </c>
      <c r="T28" s="4">
        <v>4900.4290000000001</v>
      </c>
      <c r="U28" s="4">
        <v>5928.17</v>
      </c>
      <c r="V28" s="34">
        <v>0.1328</v>
      </c>
      <c r="W28" s="34">
        <v>0.15659999999999999</v>
      </c>
      <c r="X28" s="34">
        <v>0.18959999999999999</v>
      </c>
      <c r="Y28" s="34">
        <v>0.1328</v>
      </c>
      <c r="Z28" s="34">
        <v>0.15659999999999999</v>
      </c>
      <c r="AA28" s="34">
        <v>0.18959999999999999</v>
      </c>
      <c r="AB28" s="4">
        <v>28054.465361445782</v>
      </c>
      <c r="AC28" s="4">
        <v>31292.650063856963</v>
      </c>
      <c r="AD28" s="4">
        <v>31266.719409282701</v>
      </c>
      <c r="AE28" s="4">
        <v>1548.9680000000001</v>
      </c>
      <c r="AF28" s="4">
        <v>1589.05</v>
      </c>
      <c r="AG28" s="4">
        <v>2212.7689999999998</v>
      </c>
      <c r="AH28" s="4">
        <v>1548.9680000000001</v>
      </c>
      <c r="AI28" s="4">
        <v>1589.05</v>
      </c>
      <c r="AJ28" s="4">
        <v>2212.7689999999998</v>
      </c>
      <c r="AK28" s="66">
        <v>5.62E-2</v>
      </c>
      <c r="AL28" s="66">
        <v>5.3499999999999999E-2</v>
      </c>
      <c r="AM28" s="66">
        <v>7.3999999999999996E-2</v>
      </c>
      <c r="AN28" s="66">
        <v>5.62E-2</v>
      </c>
      <c r="AO28" s="66">
        <v>5.3499999999999999E-2</v>
      </c>
      <c r="AP28" s="66">
        <v>7.3999999999999996E-2</v>
      </c>
      <c r="AQ28" s="4">
        <v>27561.708185053383</v>
      </c>
      <c r="AR28" s="4">
        <v>29701.869158878504</v>
      </c>
      <c r="AS28" s="4">
        <v>29902.283783783783</v>
      </c>
      <c r="AT28" s="66">
        <v>0.1</v>
      </c>
      <c r="AU28" s="66">
        <v>7.0000000000000007E-2</v>
      </c>
      <c r="AV28" s="66">
        <v>0.1</v>
      </c>
      <c r="AW28" s="135">
        <v>9.4E-2</v>
      </c>
      <c r="AX28" s="136">
        <v>0.1</v>
      </c>
      <c r="AY28" s="136">
        <v>7.0000000000000007E-2</v>
      </c>
      <c r="AZ28" s="135">
        <v>0.1915</v>
      </c>
      <c r="BA28" s="66">
        <v>9.8100000000000007E-2</v>
      </c>
      <c r="BB28" s="50"/>
      <c r="BC28" s="50"/>
      <c r="BD28" s="36"/>
      <c r="BE28" s="50"/>
      <c r="BF28" s="50"/>
    </row>
    <row r="29" spans="1:58" x14ac:dyDescent="0.25">
      <c r="A29" s="3">
        <v>20</v>
      </c>
      <c r="B29" s="3">
        <v>270</v>
      </c>
      <c r="C29" s="37" t="str">
        <f>IF($J$1="ENG","Kredyt Dnipro","Кредит Дніпро")</f>
        <v>Кредит Дніпро</v>
      </c>
      <c r="D29" s="3" t="str">
        <f t="shared" si="2"/>
        <v>Банки з приватним капіталом</v>
      </c>
      <c r="E29" s="4">
        <v>911.23500000000001</v>
      </c>
      <c r="F29" s="4">
        <v>991.43100000000004</v>
      </c>
      <c r="G29" s="34">
        <v>0.15920000000000001</v>
      </c>
      <c r="H29" s="34">
        <v>0.14630000000000001</v>
      </c>
      <c r="I29" s="4">
        <v>6228.537252221462</v>
      </c>
      <c r="J29" s="137" t="str">
        <f t="shared" si="0"/>
        <v>ні</v>
      </c>
      <c r="K29" s="4">
        <v>779.63400000000001</v>
      </c>
      <c r="L29" s="4">
        <v>859.83</v>
      </c>
      <c r="M29" s="34">
        <v>0.1414</v>
      </c>
      <c r="N29" s="34">
        <v>0.12820000000000001</v>
      </c>
      <c r="O29" s="4">
        <v>6081.388455538221</v>
      </c>
      <c r="P29" s="4">
        <v>779.35599999999999</v>
      </c>
      <c r="Q29" s="4">
        <v>908.18799999999999</v>
      </c>
      <c r="R29" s="4">
        <v>1080.731</v>
      </c>
      <c r="S29" s="4">
        <v>859.55200000000002</v>
      </c>
      <c r="T29" s="4">
        <v>988.38400000000001</v>
      </c>
      <c r="U29" s="4">
        <v>1160.9269999999999</v>
      </c>
      <c r="V29" s="34">
        <v>0.12889999999999999</v>
      </c>
      <c r="W29" s="34">
        <v>0.12770000000000001</v>
      </c>
      <c r="X29" s="34">
        <v>0.15060000000000001</v>
      </c>
      <c r="Y29" s="34">
        <v>0.1169</v>
      </c>
      <c r="Z29" s="34">
        <v>0.1174</v>
      </c>
      <c r="AA29" s="34">
        <v>0.14019999999999999</v>
      </c>
      <c r="AB29" s="4">
        <v>6666.8605645851148</v>
      </c>
      <c r="AC29" s="4">
        <v>7735.8432708688242</v>
      </c>
      <c r="AD29" s="4">
        <v>7708.4950071326684</v>
      </c>
      <c r="AE29" s="4">
        <v>131.624</v>
      </c>
      <c r="AF29" s="4">
        <v>22.327000000000002</v>
      </c>
      <c r="AG29" s="4">
        <v>-57.216000000000001</v>
      </c>
      <c r="AH29" s="4">
        <v>211.821</v>
      </c>
      <c r="AI29" s="4">
        <v>44.345999999999997</v>
      </c>
      <c r="AJ29" s="4">
        <v>-57.524000000000001</v>
      </c>
      <c r="AK29" s="66">
        <v>3.0700000000000002E-2</v>
      </c>
      <c r="AL29" s="66">
        <v>5.5999999999999999E-3</v>
      </c>
      <c r="AM29" s="66">
        <v>-7.1000000000000004E-3</v>
      </c>
      <c r="AN29" s="66">
        <v>1.9099999999999999E-2</v>
      </c>
      <c r="AO29" s="66">
        <v>2.8E-3</v>
      </c>
      <c r="AP29" s="66">
        <v>-7.1000000000000004E-3</v>
      </c>
      <c r="AQ29" s="4">
        <v>6891.3089005235606</v>
      </c>
      <c r="AR29" s="4">
        <v>7973.9285714285725</v>
      </c>
      <c r="AS29" s="4">
        <v>8058.5915492957747</v>
      </c>
      <c r="AT29" s="66">
        <v>0.1</v>
      </c>
      <c r="AU29" s="66">
        <v>7.0000000000000007E-2</v>
      </c>
      <c r="AV29" s="66">
        <v>0.188</v>
      </c>
      <c r="AW29" s="135">
        <v>0.17299999999999999</v>
      </c>
      <c r="AX29" s="136">
        <v>0.1</v>
      </c>
      <c r="AY29" s="136">
        <v>7.0000000000000007E-2</v>
      </c>
      <c r="AZ29" s="135">
        <v>0.20699999999999999</v>
      </c>
      <c r="BA29" s="66">
        <v>0.10349999999999999</v>
      </c>
      <c r="BB29" s="50"/>
      <c r="BC29" s="50"/>
      <c r="BD29" s="36"/>
      <c r="BE29" s="50"/>
      <c r="BF29" s="50"/>
    </row>
    <row r="30" spans="1:58" x14ac:dyDescent="0.25">
      <c r="A30" s="3">
        <v>21</v>
      </c>
      <c r="B30" s="3">
        <v>305</v>
      </c>
      <c r="C30" s="37" t="str">
        <f>IF($J$1="ENG","Vostok","Восток")</f>
        <v>Восток</v>
      </c>
      <c r="D30" s="3" t="str">
        <f t="shared" si="2"/>
        <v>Банки з приватним капіталом</v>
      </c>
      <c r="E30" s="4">
        <v>840.625</v>
      </c>
      <c r="F30" s="4">
        <v>1086.172</v>
      </c>
      <c r="G30" s="34">
        <v>0.123</v>
      </c>
      <c r="H30" s="34">
        <v>9.5200000000000007E-2</v>
      </c>
      <c r="I30" s="4">
        <v>8830.0945378151246</v>
      </c>
      <c r="J30" s="137" t="str">
        <f t="shared" si="0"/>
        <v>ні</v>
      </c>
      <c r="K30" s="4">
        <v>840.625</v>
      </c>
      <c r="L30" s="4">
        <v>1062.8320000000001</v>
      </c>
      <c r="M30" s="34">
        <v>0.1207</v>
      </c>
      <c r="N30" s="34">
        <v>9.5500000000000002E-2</v>
      </c>
      <c r="O30" s="4">
        <v>8802.3560209424086</v>
      </c>
      <c r="P30" s="4">
        <v>1060.7059999999999</v>
      </c>
      <c r="Q30" s="4">
        <v>1227.3050000000001</v>
      </c>
      <c r="R30" s="4">
        <v>1263.874</v>
      </c>
      <c r="S30" s="4">
        <v>1163.5740000000001</v>
      </c>
      <c r="T30" s="4">
        <v>1320.6610000000001</v>
      </c>
      <c r="U30" s="4">
        <v>1333.6510000000001</v>
      </c>
      <c r="V30" s="34">
        <v>0.11899999999999999</v>
      </c>
      <c r="W30" s="34">
        <v>0.1212</v>
      </c>
      <c r="X30" s="34">
        <v>0.1227</v>
      </c>
      <c r="Y30" s="34">
        <v>0.1084</v>
      </c>
      <c r="Z30" s="34">
        <v>0.11269999999999999</v>
      </c>
      <c r="AA30" s="34">
        <v>0.1163</v>
      </c>
      <c r="AB30" s="4">
        <v>9785.1107011070108</v>
      </c>
      <c r="AC30" s="4">
        <v>10890.017746228927</v>
      </c>
      <c r="AD30" s="4">
        <v>10867.360275150473</v>
      </c>
      <c r="AE30" s="4">
        <v>395.09699999999998</v>
      </c>
      <c r="AF30" s="4">
        <v>43.427</v>
      </c>
      <c r="AG30" s="4">
        <v>-183.82400000000001</v>
      </c>
      <c r="AH30" s="4">
        <v>515.58900000000006</v>
      </c>
      <c r="AI30" s="4">
        <v>86.853999999999999</v>
      </c>
      <c r="AJ30" s="4">
        <v>-183.82400000000001</v>
      </c>
      <c r="AK30" s="66">
        <v>4.9700000000000001E-2</v>
      </c>
      <c r="AL30" s="66">
        <v>7.6E-3</v>
      </c>
      <c r="AM30" s="66">
        <v>-1.5699999999999999E-2</v>
      </c>
      <c r="AN30" s="66">
        <v>3.8100000000000002E-2</v>
      </c>
      <c r="AO30" s="66">
        <v>3.8E-3</v>
      </c>
      <c r="AP30" s="66">
        <v>-1.5699999999999999E-2</v>
      </c>
      <c r="AQ30" s="4">
        <v>10369.999999999998</v>
      </c>
      <c r="AR30" s="4">
        <v>11428.157894736842</v>
      </c>
      <c r="AS30" s="4">
        <v>11708.535031847136</v>
      </c>
      <c r="AT30" s="66">
        <v>0.1</v>
      </c>
      <c r="AU30" s="66">
        <v>7.0000000000000007E-2</v>
      </c>
      <c r="AV30" s="66">
        <v>0.17899999999999999</v>
      </c>
      <c r="AW30" s="135">
        <v>0.16300000000000001</v>
      </c>
      <c r="AX30" s="136">
        <v>0.112</v>
      </c>
      <c r="AY30" s="136">
        <v>9.7000000000000003E-2</v>
      </c>
      <c r="AZ30" s="135">
        <v>0.14990000000000001</v>
      </c>
      <c r="BA30" s="66">
        <v>9.9599999999999994E-2</v>
      </c>
      <c r="BB30" s="50"/>
      <c r="BC30" s="50"/>
      <c r="BD30" s="36"/>
      <c r="BE30" s="50"/>
      <c r="BF30" s="50"/>
    </row>
    <row r="31" spans="1:58" x14ac:dyDescent="0.25">
      <c r="A31" s="3">
        <v>22</v>
      </c>
      <c r="B31" s="3">
        <v>126</v>
      </c>
      <c r="C31" s="37" t="str">
        <f>IF($J$1="ENG","Megabank","Мегабанк")</f>
        <v>Мегабанк</v>
      </c>
      <c r="D31" s="3" t="str">
        <f t="shared" si="2"/>
        <v>Банки з приватним капіталом</v>
      </c>
      <c r="E31" s="4">
        <v>641.20799999999997</v>
      </c>
      <c r="F31" s="4">
        <v>949.85</v>
      </c>
      <c r="G31" s="34">
        <v>0.1053</v>
      </c>
      <c r="H31" s="34">
        <v>7.1099999999999997E-2</v>
      </c>
      <c r="I31" s="4">
        <v>9018.3966244725743</v>
      </c>
      <c r="J31" s="137" t="str">
        <f t="shared" si="0"/>
        <v>ні</v>
      </c>
      <c r="K31" s="4">
        <v>498.33</v>
      </c>
      <c r="L31" s="4">
        <v>807.00699999999995</v>
      </c>
      <c r="M31" s="34">
        <v>9.0899999999999995E-2</v>
      </c>
      <c r="N31" s="34">
        <v>5.6099999999999997E-2</v>
      </c>
      <c r="O31" s="4">
        <v>8882.8877005347604</v>
      </c>
      <c r="P31" s="4">
        <v>-803.28800000000001</v>
      </c>
      <c r="Q31" s="4">
        <v>-1347.742</v>
      </c>
      <c r="R31" s="4">
        <v>-1895.6279999999999</v>
      </c>
      <c r="S31" s="4">
        <v>-803.28800000000001</v>
      </c>
      <c r="T31" s="4">
        <v>-1347.742</v>
      </c>
      <c r="U31" s="4">
        <v>-1895.6279999999999</v>
      </c>
      <c r="V31" s="34">
        <v>-9.5299999999999996E-2</v>
      </c>
      <c r="W31" s="34">
        <v>-0.14810000000000001</v>
      </c>
      <c r="X31" s="34">
        <v>-0.20860000000000001</v>
      </c>
      <c r="Y31" s="34">
        <v>-9.5299999999999996E-2</v>
      </c>
      <c r="Z31" s="34">
        <v>-0.14810000000000001</v>
      </c>
      <c r="AA31" s="34">
        <v>-0.20860000000000001</v>
      </c>
      <c r="AB31" s="4">
        <v>8429.0451206715643</v>
      </c>
      <c r="AC31" s="4">
        <v>9100.2160702228211</v>
      </c>
      <c r="AD31" s="4">
        <v>9087.3825503355692</v>
      </c>
      <c r="AE31" s="4">
        <v>-1121.146</v>
      </c>
      <c r="AF31" s="4">
        <v>-2005.0940000000001</v>
      </c>
      <c r="AG31" s="4">
        <v>-2740.819</v>
      </c>
      <c r="AH31" s="4">
        <v>-1121.146</v>
      </c>
      <c r="AI31" s="4">
        <v>-2005.0940000000001</v>
      </c>
      <c r="AJ31" s="4">
        <v>-2740.819</v>
      </c>
      <c r="AK31" s="66">
        <v>-0.12859999999999999</v>
      </c>
      <c r="AL31" s="66">
        <v>-0.21390000000000001</v>
      </c>
      <c r="AM31" s="66">
        <v>-0.28399999999999997</v>
      </c>
      <c r="AN31" s="66">
        <v>-0.12859999999999999</v>
      </c>
      <c r="AO31" s="66">
        <v>-0.21390000000000001</v>
      </c>
      <c r="AP31" s="66">
        <v>-0.28399999999999997</v>
      </c>
      <c r="AQ31" s="4">
        <v>8718.0870917573866</v>
      </c>
      <c r="AR31" s="4">
        <v>9373.9784946236559</v>
      </c>
      <c r="AS31" s="4">
        <v>9650.7711267605646</v>
      </c>
      <c r="AT31" s="66">
        <v>0.37</v>
      </c>
      <c r="AU31" s="66">
        <v>0.34</v>
      </c>
      <c r="AV31" s="66">
        <v>0.41499999999999998</v>
      </c>
      <c r="AW31" s="135">
        <v>0.4</v>
      </c>
      <c r="AX31" s="136">
        <v>0.41499999999999998</v>
      </c>
      <c r="AY31" s="136">
        <v>0.4</v>
      </c>
      <c r="AZ31" s="135">
        <v>0.1125</v>
      </c>
      <c r="BA31" s="66">
        <v>8.7099999999999997E-2</v>
      </c>
      <c r="BB31" s="50"/>
      <c r="BC31" s="50"/>
      <c r="BD31" s="36"/>
      <c r="BE31" s="50"/>
      <c r="BF31" s="50"/>
    </row>
    <row r="32" spans="1:58" x14ac:dyDescent="0.25">
      <c r="A32" s="3">
        <v>23</v>
      </c>
      <c r="B32" s="3">
        <v>96</v>
      </c>
      <c r="C32" s="37" t="str">
        <f>IF($J$1="ENG","A-Bank","А - Банк")</f>
        <v>А - Банк</v>
      </c>
      <c r="D32" s="3" t="str">
        <f t="shared" si="2"/>
        <v>Банки з приватним капіталом</v>
      </c>
      <c r="E32" s="4">
        <v>790.47299999999996</v>
      </c>
      <c r="F32" s="4">
        <v>1061.3119999999999</v>
      </c>
      <c r="G32" s="34">
        <v>0.1318</v>
      </c>
      <c r="H32" s="34">
        <v>9.8199999999999996E-2</v>
      </c>
      <c r="I32" s="4">
        <v>8049.6232179226072</v>
      </c>
      <c r="J32" s="137" t="str">
        <f t="shared" si="0"/>
        <v>ні</v>
      </c>
      <c r="K32" s="4">
        <v>790.47299999999996</v>
      </c>
      <c r="L32" s="4">
        <v>1061.3119999999999</v>
      </c>
      <c r="M32" s="34">
        <v>0.1318</v>
      </c>
      <c r="N32" s="34">
        <v>9.8199999999999996E-2</v>
      </c>
      <c r="O32" s="4">
        <v>8049.6232179226072</v>
      </c>
      <c r="P32" s="4">
        <v>1620.057</v>
      </c>
      <c r="Q32" s="4">
        <v>2171.2890000000002</v>
      </c>
      <c r="R32" s="4">
        <v>2652.0520000000001</v>
      </c>
      <c r="S32" s="4">
        <v>1621.644</v>
      </c>
      <c r="T32" s="4">
        <v>2172.875</v>
      </c>
      <c r="U32" s="4">
        <v>2653.6379999999999</v>
      </c>
      <c r="V32" s="34">
        <v>0.1298</v>
      </c>
      <c r="W32" s="34">
        <v>0.15529999999999999</v>
      </c>
      <c r="X32" s="34">
        <v>0.19020000000000001</v>
      </c>
      <c r="Y32" s="34">
        <v>0.12970000000000001</v>
      </c>
      <c r="Z32" s="34">
        <v>0.1552</v>
      </c>
      <c r="AA32" s="34">
        <v>0.19009999999999999</v>
      </c>
      <c r="AB32" s="4">
        <v>12490.801850424055</v>
      </c>
      <c r="AC32" s="4">
        <v>13990.264175257733</v>
      </c>
      <c r="AD32" s="4">
        <v>13950.825881115205</v>
      </c>
      <c r="AE32" s="4">
        <v>1328.309</v>
      </c>
      <c r="AF32" s="4">
        <v>1518.4880000000001</v>
      </c>
      <c r="AG32" s="4">
        <v>2015.6559999999999</v>
      </c>
      <c r="AH32" s="4">
        <v>1329.896</v>
      </c>
      <c r="AI32" s="4">
        <v>1520.0740000000001</v>
      </c>
      <c r="AJ32" s="4">
        <v>2017.242</v>
      </c>
      <c r="AK32" s="66">
        <v>0.1091</v>
      </c>
      <c r="AL32" s="66">
        <v>0.1147</v>
      </c>
      <c r="AM32" s="66">
        <v>0.15179999999999999</v>
      </c>
      <c r="AN32" s="66">
        <v>0.109</v>
      </c>
      <c r="AO32" s="66">
        <v>0.11459999999999999</v>
      </c>
      <c r="AP32" s="66">
        <v>0.1517</v>
      </c>
      <c r="AQ32" s="4">
        <v>12186.32110091743</v>
      </c>
      <c r="AR32" s="4">
        <v>13250.331588132636</v>
      </c>
      <c r="AS32" s="4">
        <v>13287.119314436388</v>
      </c>
      <c r="AT32" s="66">
        <v>0.1</v>
      </c>
      <c r="AU32" s="66">
        <v>7.0000000000000007E-2</v>
      </c>
      <c r="AV32" s="66">
        <v>0.1</v>
      </c>
      <c r="AW32" s="135">
        <v>7.0000000000000007E-2</v>
      </c>
      <c r="AX32" s="136">
        <v>0.1</v>
      </c>
      <c r="AY32" s="136">
        <v>7.0000000000000007E-2</v>
      </c>
      <c r="AZ32" s="135">
        <v>0.1462</v>
      </c>
      <c r="BA32" s="66">
        <v>8.8499999999999995E-2</v>
      </c>
      <c r="BB32" s="50"/>
      <c r="BC32" s="50"/>
      <c r="BD32" s="36"/>
      <c r="BE32" s="50"/>
      <c r="BF32" s="50"/>
    </row>
    <row r="33" spans="1:58" x14ac:dyDescent="0.25">
      <c r="A33" s="3">
        <v>24</v>
      </c>
      <c r="B33" s="3">
        <v>105</v>
      </c>
      <c r="C33" s="37" t="str">
        <f>IF($J$1="ENG","MTB","МТБ")</f>
        <v>МТБ</v>
      </c>
      <c r="D33" s="3" t="str">
        <f t="shared" ref="D33:D38" si="3">IF($J$1="ENG","Private banks","Банки з приватним капіталом")</f>
        <v>Банки з приватним капіталом</v>
      </c>
      <c r="E33" s="4">
        <v>628.23</v>
      </c>
      <c r="F33" s="4">
        <v>716.24</v>
      </c>
      <c r="G33" s="34">
        <v>0.13469999999999999</v>
      </c>
      <c r="H33" s="34">
        <v>0.1182</v>
      </c>
      <c r="I33" s="4">
        <v>5314.9746192893399</v>
      </c>
      <c r="J33" s="137" t="str">
        <f t="shared" si="0"/>
        <v>ні</v>
      </c>
      <c r="K33" s="4">
        <v>628.23</v>
      </c>
      <c r="L33" s="4">
        <v>717.07</v>
      </c>
      <c r="M33" s="34">
        <v>0.13489999999999999</v>
      </c>
      <c r="N33" s="34">
        <v>0.1181</v>
      </c>
      <c r="O33" s="4">
        <v>5319.4750211685014</v>
      </c>
      <c r="P33" s="4">
        <v>693.149</v>
      </c>
      <c r="Q33" s="4">
        <v>748.14800000000002</v>
      </c>
      <c r="R33" s="4">
        <v>688.70600000000002</v>
      </c>
      <c r="S33" s="4">
        <v>747.64499999999998</v>
      </c>
      <c r="T33" s="4">
        <v>790.87300000000005</v>
      </c>
      <c r="U33" s="4">
        <v>718.84299999999996</v>
      </c>
      <c r="V33" s="34">
        <v>0.1278</v>
      </c>
      <c r="W33" s="34">
        <v>0.12280000000000001</v>
      </c>
      <c r="X33" s="34">
        <v>0.1132</v>
      </c>
      <c r="Y33" s="34">
        <v>0.11849999999999999</v>
      </c>
      <c r="Z33" s="34">
        <v>0.1162</v>
      </c>
      <c r="AA33" s="34">
        <v>0.1084</v>
      </c>
      <c r="AB33" s="4">
        <v>5849.3586497890301</v>
      </c>
      <c r="AC33" s="4">
        <v>6438.4509466437185</v>
      </c>
      <c r="AD33" s="4">
        <v>6353.376383763838</v>
      </c>
      <c r="AE33" s="4">
        <v>301.15100000000001</v>
      </c>
      <c r="AF33" s="4">
        <v>149.398</v>
      </c>
      <c r="AG33" s="4">
        <v>-21.622</v>
      </c>
      <c r="AH33" s="4">
        <v>361.96199999999999</v>
      </c>
      <c r="AI33" s="4">
        <v>197.44900000000001</v>
      </c>
      <c r="AJ33" s="4">
        <v>-21.622</v>
      </c>
      <c r="AK33" s="66">
        <v>5.91E-2</v>
      </c>
      <c r="AL33" s="66">
        <v>2.93E-2</v>
      </c>
      <c r="AM33" s="66">
        <v>-3.2000000000000002E-3</v>
      </c>
      <c r="AN33" s="66">
        <v>4.9200000000000001E-2</v>
      </c>
      <c r="AO33" s="66">
        <v>2.2200000000000001E-2</v>
      </c>
      <c r="AP33" s="66">
        <v>-3.2000000000000002E-3</v>
      </c>
      <c r="AQ33" s="4">
        <v>6120.955284552846</v>
      </c>
      <c r="AR33" s="4">
        <v>6729.6396396396394</v>
      </c>
      <c r="AS33" s="4">
        <v>6756.875</v>
      </c>
      <c r="AT33" s="66">
        <v>0.1</v>
      </c>
      <c r="AU33" s="66">
        <v>7.0000000000000007E-2</v>
      </c>
      <c r="AV33" s="66">
        <v>0.17599999999999999</v>
      </c>
      <c r="AW33" s="135">
        <v>0.161</v>
      </c>
      <c r="AX33" s="136">
        <v>0.1003</v>
      </c>
      <c r="AY33" s="136">
        <v>8.5300000000000001E-2</v>
      </c>
      <c r="AZ33" s="135">
        <v>0.14269999999999999</v>
      </c>
      <c r="BA33" s="66">
        <v>0.1067</v>
      </c>
      <c r="BB33" s="50"/>
      <c r="BC33" s="50"/>
      <c r="BD33" s="36"/>
      <c r="BE33" s="50"/>
      <c r="BF33" s="50"/>
    </row>
    <row r="34" spans="1:58" x14ac:dyDescent="0.25">
      <c r="A34" s="3">
        <v>25</v>
      </c>
      <c r="B34" s="3">
        <v>101</v>
      </c>
      <c r="C34" s="37" t="str">
        <f>IF($J$1="ENG","Industrialbank","Індустріалбанк")</f>
        <v>Індустріалбанк</v>
      </c>
      <c r="D34" s="3" t="str">
        <f t="shared" si="3"/>
        <v>Банки з приватним капіталом</v>
      </c>
      <c r="E34" s="4">
        <v>1014.011</v>
      </c>
      <c r="F34" s="4">
        <v>1014.011</v>
      </c>
      <c r="G34" s="34">
        <v>0.42199999999999999</v>
      </c>
      <c r="H34" s="34">
        <v>0.42199999999999999</v>
      </c>
      <c r="I34" s="4">
        <v>2402.8696682464456</v>
      </c>
      <c r="J34" s="137" t="str">
        <f t="shared" si="0"/>
        <v>ні</v>
      </c>
      <c r="K34" s="4">
        <v>1011.3819999999999</v>
      </c>
      <c r="L34" s="4">
        <v>1011.3819999999999</v>
      </c>
      <c r="M34" s="34">
        <v>0.42130000000000001</v>
      </c>
      <c r="N34" s="34">
        <v>0.42130000000000001</v>
      </c>
      <c r="O34" s="4">
        <v>2400.6218846427723</v>
      </c>
      <c r="P34" s="4">
        <v>950.16099999999994</v>
      </c>
      <c r="Q34" s="4">
        <v>851.06799999999998</v>
      </c>
      <c r="R34" s="4">
        <v>711.13099999999997</v>
      </c>
      <c r="S34" s="4">
        <v>950.16099999999994</v>
      </c>
      <c r="T34" s="4">
        <v>851.06799999999998</v>
      </c>
      <c r="U34" s="4">
        <v>711.13099999999997</v>
      </c>
      <c r="V34" s="34">
        <v>0.33589999999999998</v>
      </c>
      <c r="W34" s="34">
        <v>0.25640000000000002</v>
      </c>
      <c r="X34" s="34">
        <v>0.2145</v>
      </c>
      <c r="Y34" s="34">
        <v>0.33589999999999998</v>
      </c>
      <c r="Z34" s="34">
        <v>0.25640000000000002</v>
      </c>
      <c r="AA34" s="34">
        <v>0.2145</v>
      </c>
      <c r="AB34" s="4">
        <v>2828.7019946412624</v>
      </c>
      <c r="AC34" s="4">
        <v>3319.2979719188766</v>
      </c>
      <c r="AD34" s="4">
        <v>3315.2960372960374</v>
      </c>
      <c r="AE34" s="4">
        <v>771.03</v>
      </c>
      <c r="AF34" s="4">
        <v>607.85900000000004</v>
      </c>
      <c r="AG34" s="4">
        <v>442.49400000000003</v>
      </c>
      <c r="AH34" s="4">
        <v>771.03</v>
      </c>
      <c r="AI34" s="4">
        <v>607.85900000000004</v>
      </c>
      <c r="AJ34" s="4">
        <v>442.49400000000003</v>
      </c>
      <c r="AK34" s="66">
        <v>0.26079999999999998</v>
      </c>
      <c r="AL34" s="66">
        <v>0.17449999999999999</v>
      </c>
      <c r="AM34" s="66">
        <v>0.124</v>
      </c>
      <c r="AN34" s="66">
        <v>0.26079999999999998</v>
      </c>
      <c r="AO34" s="66">
        <v>0.17449999999999999</v>
      </c>
      <c r="AP34" s="66">
        <v>0.124</v>
      </c>
      <c r="AQ34" s="4">
        <v>2956.4033742331289</v>
      </c>
      <c r="AR34" s="4">
        <v>3483.4326647564476</v>
      </c>
      <c r="AS34" s="4">
        <v>3568.5000000000005</v>
      </c>
      <c r="AT34" s="66">
        <v>0.19500000000000001</v>
      </c>
      <c r="AU34" s="66">
        <v>0.19500000000000001</v>
      </c>
      <c r="AV34" s="66">
        <v>0.27200000000000002</v>
      </c>
      <c r="AW34" s="66">
        <v>0.27200000000000002</v>
      </c>
      <c r="AX34" s="34">
        <v>0.27200000000000002</v>
      </c>
      <c r="AY34" s="34">
        <v>0.27200000000000002</v>
      </c>
      <c r="AZ34" s="66">
        <v>0.40739999999999998</v>
      </c>
      <c r="BA34" s="66">
        <v>0.39600000000000002</v>
      </c>
      <c r="BB34" s="50"/>
      <c r="BC34" s="50"/>
      <c r="BD34" s="36"/>
      <c r="BE34" s="50"/>
      <c r="BF34" s="50"/>
    </row>
    <row r="35" spans="1:58" x14ac:dyDescent="0.25">
      <c r="A35" s="3">
        <v>26</v>
      </c>
      <c r="B35" s="3">
        <v>320</v>
      </c>
      <c r="C35" s="37" t="str">
        <f>IF($J$1="ENG","Bank for Investments and Savings","Банк Інвестицій та заощаджень")</f>
        <v>Банк Інвестицій та заощаджень</v>
      </c>
      <c r="D35" s="3" t="str">
        <f t="shared" si="3"/>
        <v>Банки з приватним капіталом</v>
      </c>
      <c r="E35" s="4">
        <v>508.71199999999999</v>
      </c>
      <c r="F35" s="4">
        <v>558.07100000000003</v>
      </c>
      <c r="G35" s="34">
        <v>0.1484</v>
      </c>
      <c r="H35" s="34">
        <v>0.1353</v>
      </c>
      <c r="I35" s="4">
        <v>3759.8817442719878</v>
      </c>
      <c r="J35" s="137" t="str">
        <f t="shared" si="0"/>
        <v>ні</v>
      </c>
      <c r="K35" s="4">
        <v>508.71199999999999</v>
      </c>
      <c r="L35" s="4">
        <v>535.91399999999999</v>
      </c>
      <c r="M35" s="34">
        <v>0.1434</v>
      </c>
      <c r="N35" s="34">
        <v>0.1361</v>
      </c>
      <c r="O35" s="4">
        <v>3737.7810433504774</v>
      </c>
      <c r="P35" s="4">
        <v>329.53899999999999</v>
      </c>
      <c r="Q35" s="4">
        <v>195.732</v>
      </c>
      <c r="R35" s="4">
        <v>25.56</v>
      </c>
      <c r="S35" s="4">
        <v>329.53899999999999</v>
      </c>
      <c r="T35" s="4">
        <v>195.732</v>
      </c>
      <c r="U35" s="4">
        <v>25.56</v>
      </c>
      <c r="V35" s="34">
        <v>8.0199999999999994E-2</v>
      </c>
      <c r="W35" s="34">
        <v>4.3499999999999997E-2</v>
      </c>
      <c r="X35" s="34">
        <v>5.7000000000000002E-3</v>
      </c>
      <c r="Y35" s="34">
        <v>8.0199999999999994E-2</v>
      </c>
      <c r="Z35" s="34">
        <v>4.3499999999999997E-2</v>
      </c>
      <c r="AA35" s="34">
        <v>5.7000000000000002E-3</v>
      </c>
      <c r="AB35" s="4">
        <v>4108.9650872817956</v>
      </c>
      <c r="AC35" s="4">
        <v>4499.5862068965516</v>
      </c>
      <c r="AD35" s="4">
        <v>4484.2105263157891</v>
      </c>
      <c r="AE35" s="4">
        <v>15.663</v>
      </c>
      <c r="AF35" s="4">
        <v>-279.66800000000001</v>
      </c>
      <c r="AG35" s="4">
        <v>-522.07399999999996</v>
      </c>
      <c r="AH35" s="4">
        <v>15.663</v>
      </c>
      <c r="AI35" s="4">
        <v>-279.66800000000001</v>
      </c>
      <c r="AJ35" s="4">
        <v>-522.07399999999996</v>
      </c>
      <c r="AK35" s="66">
        <v>3.8E-3</v>
      </c>
      <c r="AL35" s="66">
        <v>-6.25E-2</v>
      </c>
      <c r="AM35" s="66">
        <v>-0.11559999999999999</v>
      </c>
      <c r="AN35" s="66">
        <v>3.8E-3</v>
      </c>
      <c r="AO35" s="66">
        <v>-6.25E-2</v>
      </c>
      <c r="AP35" s="66">
        <v>-0.11559999999999999</v>
      </c>
      <c r="AQ35" s="4">
        <v>4121.8421052631584</v>
      </c>
      <c r="AR35" s="4">
        <v>4474.6880000000001</v>
      </c>
      <c r="AS35" s="4">
        <v>4516.2110726643596</v>
      </c>
      <c r="AT35" s="66">
        <v>0.23699999999999999</v>
      </c>
      <c r="AU35" s="66">
        <v>0.20699999999999999</v>
      </c>
      <c r="AV35" s="66">
        <v>0.33300000000000002</v>
      </c>
      <c r="AW35" s="66">
        <v>0.318</v>
      </c>
      <c r="AX35" s="34">
        <v>0.26</v>
      </c>
      <c r="AY35" s="34">
        <v>0.245</v>
      </c>
      <c r="AZ35" s="66">
        <v>0.28100000000000003</v>
      </c>
      <c r="BA35" s="66">
        <v>0.2606</v>
      </c>
      <c r="BB35" s="50"/>
      <c r="BC35" s="50"/>
      <c r="BD35" s="36"/>
      <c r="BE35" s="50"/>
      <c r="BF35" s="50"/>
    </row>
    <row r="36" spans="1:58" x14ac:dyDescent="0.25">
      <c r="A36" s="3">
        <v>27</v>
      </c>
      <c r="B36" s="86">
        <v>29</v>
      </c>
      <c r="C36" s="37" t="str">
        <f>IF($J$1="ENG","Alians","Альянс")</f>
        <v>Альянс</v>
      </c>
      <c r="D36" s="3" t="str">
        <f>IF($J$1="ENG","Private banks","Банки з приватним капіталом")</f>
        <v>Банки з приватним капіталом</v>
      </c>
      <c r="E36" s="4">
        <v>483.791</v>
      </c>
      <c r="F36" s="4">
        <v>574.75099999999998</v>
      </c>
      <c r="G36" s="34">
        <v>0.11070000000000001</v>
      </c>
      <c r="H36" s="34">
        <v>9.3200000000000005E-2</v>
      </c>
      <c r="I36" s="4">
        <v>5190.8905579399143</v>
      </c>
      <c r="J36" s="137" t="str">
        <f t="shared" si="0"/>
        <v>ні</v>
      </c>
      <c r="K36" s="4">
        <v>483.791</v>
      </c>
      <c r="L36" s="4">
        <v>541.95500000000004</v>
      </c>
      <c r="M36" s="34">
        <v>0.105</v>
      </c>
      <c r="N36" s="34">
        <v>9.3799999999999994E-2</v>
      </c>
      <c r="O36" s="4">
        <v>5157.686567164179</v>
      </c>
      <c r="P36" s="4">
        <v>115.72799999999999</v>
      </c>
      <c r="Q36" s="4">
        <v>281.75599999999997</v>
      </c>
      <c r="R36" s="4">
        <v>397.19299999999998</v>
      </c>
      <c r="S36" s="4">
        <v>172.22800000000001</v>
      </c>
      <c r="T36" s="4">
        <v>338.25599999999997</v>
      </c>
      <c r="U36" s="4">
        <v>453.69299999999998</v>
      </c>
      <c r="V36" s="34">
        <v>3.4500000000000003E-2</v>
      </c>
      <c r="W36" s="34">
        <v>6.2700000000000006E-2</v>
      </c>
      <c r="X36" s="34">
        <v>8.4199999999999997E-2</v>
      </c>
      <c r="Y36" s="34">
        <v>2.3199999999999998E-2</v>
      </c>
      <c r="Z36" s="34">
        <v>5.2200000000000003E-2</v>
      </c>
      <c r="AA36" s="34">
        <v>7.3700000000000002E-2</v>
      </c>
      <c r="AB36" s="4">
        <v>4988.2758620689656</v>
      </c>
      <c r="AC36" s="4">
        <v>5397.6245210727957</v>
      </c>
      <c r="AD36" s="4">
        <v>5389.3215739484394</v>
      </c>
      <c r="AE36" s="4">
        <v>-786.09</v>
      </c>
      <c r="AF36" s="4">
        <v>-857.81100000000004</v>
      </c>
      <c r="AG36" s="4">
        <v>-956.16800000000001</v>
      </c>
      <c r="AH36" s="4">
        <v>-786.09</v>
      </c>
      <c r="AI36" s="4">
        <v>-857.81100000000004</v>
      </c>
      <c r="AJ36" s="4">
        <v>-956.16800000000001</v>
      </c>
      <c r="AK36" s="66">
        <v>-0.1573</v>
      </c>
      <c r="AL36" s="66">
        <v>-0.15820000000000001</v>
      </c>
      <c r="AM36" s="66">
        <v>-0.1744</v>
      </c>
      <c r="AN36" s="66">
        <v>-0.1573</v>
      </c>
      <c r="AO36" s="66">
        <v>-0.15820000000000001</v>
      </c>
      <c r="AP36" s="66">
        <v>-0.1744</v>
      </c>
      <c r="AQ36" s="4">
        <v>4997.3935155753343</v>
      </c>
      <c r="AR36" s="4">
        <v>5422.3198482932994</v>
      </c>
      <c r="AS36" s="4">
        <v>5482.6146788990827</v>
      </c>
      <c r="AT36" s="66">
        <v>0.17199999999999999</v>
      </c>
      <c r="AU36" s="66">
        <v>0.14199999999999999</v>
      </c>
      <c r="AV36" s="66">
        <v>0.32900000000000001</v>
      </c>
      <c r="AW36" s="66">
        <v>0.314</v>
      </c>
      <c r="AX36" s="34">
        <v>0.13669999999999999</v>
      </c>
      <c r="AY36" s="34">
        <v>0.1217</v>
      </c>
      <c r="AZ36" s="66">
        <v>0.16159999999999999</v>
      </c>
      <c r="BA36" s="66">
        <v>9.0700000000000003E-2</v>
      </c>
      <c r="BB36" s="50"/>
      <c r="BC36" s="50"/>
      <c r="BD36" s="36"/>
      <c r="BE36" s="50"/>
      <c r="BF36" s="50"/>
    </row>
    <row r="37" spans="1:58" x14ac:dyDescent="0.25">
      <c r="A37" s="3">
        <v>28</v>
      </c>
      <c r="B37" s="3">
        <v>91</v>
      </c>
      <c r="C37" s="37" t="str">
        <f>IF($J$1="ENG","Lviv","Львів")</f>
        <v>Львів</v>
      </c>
      <c r="D37" s="3" t="str">
        <f t="shared" si="3"/>
        <v>Банки з приватним капіталом</v>
      </c>
      <c r="E37" s="4">
        <v>272.36700000000002</v>
      </c>
      <c r="F37" s="4">
        <v>472.91199999999998</v>
      </c>
      <c r="G37" s="34">
        <v>0.1404</v>
      </c>
      <c r="H37" s="34">
        <v>8.0799999999999997E-2</v>
      </c>
      <c r="I37" s="4">
        <v>3370.8787128712875</v>
      </c>
      <c r="J37" s="137" t="str">
        <f t="shared" si="0"/>
        <v>ні</v>
      </c>
      <c r="K37" s="4">
        <v>272.36700000000002</v>
      </c>
      <c r="L37" s="4">
        <v>472.28199999999998</v>
      </c>
      <c r="M37" s="34">
        <v>0.14019999999999999</v>
      </c>
      <c r="N37" s="34">
        <v>8.09E-2</v>
      </c>
      <c r="O37" s="4">
        <v>3366.7119901112487</v>
      </c>
      <c r="P37" s="4">
        <v>289.68299999999999</v>
      </c>
      <c r="Q37" s="4">
        <v>317.43099999999998</v>
      </c>
      <c r="R37" s="4">
        <v>297.46300000000002</v>
      </c>
      <c r="S37" s="4">
        <v>425.78300000000002</v>
      </c>
      <c r="T37" s="4">
        <v>427.22</v>
      </c>
      <c r="U37" s="4">
        <v>379.09699999999998</v>
      </c>
      <c r="V37" s="34">
        <v>0.1186</v>
      </c>
      <c r="W37" s="34">
        <v>0.1128</v>
      </c>
      <c r="X37" s="34">
        <v>0.1008</v>
      </c>
      <c r="Y37" s="34">
        <v>8.0699999999999994E-2</v>
      </c>
      <c r="Z37" s="34">
        <v>8.3799999999999999E-2</v>
      </c>
      <c r="AA37" s="34">
        <v>7.9100000000000004E-2</v>
      </c>
      <c r="AB37" s="4">
        <v>3589.6282527881044</v>
      </c>
      <c r="AC37" s="4">
        <v>3787.959427207637</v>
      </c>
      <c r="AD37" s="4">
        <v>3760.5941845764855</v>
      </c>
      <c r="AE37" s="4">
        <v>-261.964</v>
      </c>
      <c r="AF37" s="4">
        <v>-391.50200000000001</v>
      </c>
      <c r="AG37" s="4">
        <v>-462.91300000000001</v>
      </c>
      <c r="AH37" s="4">
        <v>-261.964</v>
      </c>
      <c r="AI37" s="4">
        <v>-391.50200000000001</v>
      </c>
      <c r="AJ37" s="4">
        <v>-462.91300000000001</v>
      </c>
      <c r="AK37" s="66">
        <v>-0.08</v>
      </c>
      <c r="AL37" s="66">
        <v>-0.115</v>
      </c>
      <c r="AM37" s="66">
        <v>-0.13469999999999999</v>
      </c>
      <c r="AN37" s="66">
        <v>-0.08</v>
      </c>
      <c r="AO37" s="66">
        <v>-0.115</v>
      </c>
      <c r="AP37" s="66">
        <v>-0.13469999999999999</v>
      </c>
      <c r="AQ37" s="4">
        <v>3274.5499999999997</v>
      </c>
      <c r="AR37" s="4">
        <v>3404.3652173913042</v>
      </c>
      <c r="AS37" s="4">
        <v>3436.622123236823</v>
      </c>
      <c r="AT37" s="66">
        <v>0.1</v>
      </c>
      <c r="AU37" s="66">
        <v>7.0000000000000007E-2</v>
      </c>
      <c r="AV37" s="66">
        <v>0.26900000000000002</v>
      </c>
      <c r="AW37" s="66">
        <v>0.254</v>
      </c>
      <c r="AX37" s="34">
        <v>0.11550000000000001</v>
      </c>
      <c r="AY37" s="34">
        <v>0.10050000000000001</v>
      </c>
      <c r="AZ37" s="66">
        <v>0.13619999999999999</v>
      </c>
      <c r="BA37" s="66">
        <v>9.1700000000000004E-2</v>
      </c>
      <c r="BB37" s="50"/>
      <c r="BC37" s="50"/>
      <c r="BD37" s="36"/>
      <c r="BE37" s="50"/>
      <c r="BF37" s="50"/>
    </row>
    <row r="38" spans="1:58" x14ac:dyDescent="0.25">
      <c r="A38" s="3">
        <v>29</v>
      </c>
      <c r="B38" s="3">
        <v>386</v>
      </c>
      <c r="C38" s="37" t="str">
        <f>IF($J$1="ENG","Globus","Глобус")</f>
        <v>Глобус</v>
      </c>
      <c r="D38" s="3" t="str">
        <f t="shared" si="3"/>
        <v>Банки з приватним капіталом</v>
      </c>
      <c r="E38" s="4">
        <v>403.185</v>
      </c>
      <c r="F38" s="4">
        <v>480</v>
      </c>
      <c r="G38" s="34">
        <v>0.155</v>
      </c>
      <c r="H38" s="34">
        <v>0.12970000000000001</v>
      </c>
      <c r="I38" s="4">
        <v>3108.5967617579026</v>
      </c>
      <c r="J38" s="137" t="str">
        <f t="shared" si="0"/>
        <v>ні</v>
      </c>
      <c r="K38" s="4">
        <v>403.185</v>
      </c>
      <c r="L38" s="4">
        <v>480.62400000000002</v>
      </c>
      <c r="M38" s="34">
        <v>0.15529999999999999</v>
      </c>
      <c r="N38" s="34">
        <v>0.1303</v>
      </c>
      <c r="O38" s="4">
        <v>3094.2824251726784</v>
      </c>
      <c r="P38" s="4">
        <v>516.66200000000003</v>
      </c>
      <c r="Q38" s="4">
        <v>634.61699999999996</v>
      </c>
      <c r="R38" s="4">
        <v>707.89200000000005</v>
      </c>
      <c r="S38" s="4">
        <v>564.66700000000003</v>
      </c>
      <c r="T38" s="4">
        <v>683.62900000000002</v>
      </c>
      <c r="U38" s="4">
        <v>756.73599999999999</v>
      </c>
      <c r="V38" s="34">
        <v>0.15740000000000001</v>
      </c>
      <c r="W38" s="34">
        <v>0.17130000000000001</v>
      </c>
      <c r="X38" s="34">
        <v>0.19009999999999999</v>
      </c>
      <c r="Y38" s="34">
        <v>0.14399999999999999</v>
      </c>
      <c r="Z38" s="34">
        <v>0.159</v>
      </c>
      <c r="AA38" s="34">
        <v>0.17780000000000001</v>
      </c>
      <c r="AB38" s="4">
        <v>3587.9305555555561</v>
      </c>
      <c r="AC38" s="4">
        <v>3991.3018867924525</v>
      </c>
      <c r="AD38" s="4">
        <v>3981.3948256467943</v>
      </c>
      <c r="AE38" s="4">
        <v>108.88800000000001</v>
      </c>
      <c r="AF38" s="4">
        <v>17.41</v>
      </c>
      <c r="AG38" s="4">
        <v>-21.497</v>
      </c>
      <c r="AH38" s="4">
        <v>165.11799999999999</v>
      </c>
      <c r="AI38" s="4">
        <v>34.82</v>
      </c>
      <c r="AJ38" s="4">
        <v>-21.497</v>
      </c>
      <c r="AK38" s="66">
        <v>4.6899999999999997E-2</v>
      </c>
      <c r="AL38" s="66">
        <v>8.9999999999999993E-3</v>
      </c>
      <c r="AM38" s="66">
        <v>-5.4999999999999997E-3</v>
      </c>
      <c r="AN38" s="66">
        <v>3.09E-2</v>
      </c>
      <c r="AO38" s="66">
        <v>4.4999999999999997E-3</v>
      </c>
      <c r="AP38" s="66">
        <v>-5.4999999999999997E-3</v>
      </c>
      <c r="AQ38" s="4">
        <v>3523.8834951456311</v>
      </c>
      <c r="AR38" s="4">
        <v>3868.8888888888891</v>
      </c>
      <c r="AS38" s="4">
        <v>3908.545454545455</v>
      </c>
      <c r="AT38" s="66">
        <v>0.1</v>
      </c>
      <c r="AU38" s="66">
        <v>7.0000000000000007E-2</v>
      </c>
      <c r="AV38" s="66">
        <v>0.19700000000000001</v>
      </c>
      <c r="AW38" s="66">
        <v>0.182</v>
      </c>
      <c r="AX38" s="34">
        <v>0.13420000000000001</v>
      </c>
      <c r="AY38" s="34">
        <v>0.1192</v>
      </c>
      <c r="AZ38" s="66">
        <v>0.14480000000000001</v>
      </c>
      <c r="BA38" s="66">
        <v>0.123</v>
      </c>
      <c r="BB38" s="50"/>
      <c r="BC38" s="50"/>
      <c r="BD38" s="36"/>
      <c r="BE38" s="50"/>
      <c r="BF38" s="50"/>
    </row>
    <row r="39" spans="1:58" x14ac:dyDescent="0.25">
      <c r="A39" s="3">
        <v>30</v>
      </c>
      <c r="B39" s="3">
        <v>392</v>
      </c>
      <c r="C39" s="37" t="str">
        <f>IF($J$1="ENG","Acordbank","Акордбанк")</f>
        <v>Акордбанк</v>
      </c>
      <c r="D39" s="3" t="str">
        <f>IF($J$1="ENG","Private banks","Банки з приватним капіталом")</f>
        <v>Банки з приватним капіталом</v>
      </c>
      <c r="E39" s="4">
        <v>272.303</v>
      </c>
      <c r="F39" s="4">
        <v>297.86700000000002</v>
      </c>
      <c r="G39" s="34">
        <v>0.12820000000000001</v>
      </c>
      <c r="H39" s="34">
        <v>0.1172</v>
      </c>
      <c r="I39" s="4">
        <v>2323.4044368600685</v>
      </c>
      <c r="J39" s="137" t="str">
        <f t="shared" si="0"/>
        <v>ні</v>
      </c>
      <c r="K39" s="4">
        <v>272.303</v>
      </c>
      <c r="L39" s="4">
        <v>297.245</v>
      </c>
      <c r="M39" s="34">
        <v>0.128</v>
      </c>
      <c r="N39" s="34">
        <v>0.1172</v>
      </c>
      <c r="O39" s="4">
        <v>2323.4044368600685</v>
      </c>
      <c r="P39" s="4">
        <v>299.15899999999999</v>
      </c>
      <c r="Q39" s="4">
        <v>366.673</v>
      </c>
      <c r="R39" s="4">
        <v>397.69</v>
      </c>
      <c r="S39" s="4">
        <v>299.15899999999999</v>
      </c>
      <c r="T39" s="4">
        <v>366.673</v>
      </c>
      <c r="U39" s="4">
        <v>397.69</v>
      </c>
      <c r="V39" s="34">
        <v>0.10929999999999999</v>
      </c>
      <c r="W39" s="34">
        <v>0.11799999999999999</v>
      </c>
      <c r="X39" s="34">
        <v>0.128</v>
      </c>
      <c r="Y39" s="34">
        <v>0.10929999999999999</v>
      </c>
      <c r="Z39" s="34">
        <v>0.11799999999999999</v>
      </c>
      <c r="AA39" s="34">
        <v>0.128</v>
      </c>
      <c r="AB39" s="4">
        <v>2737.0448307410797</v>
      </c>
      <c r="AC39" s="4">
        <v>3107.398305084746</v>
      </c>
      <c r="AD39" s="4">
        <v>3106.953125</v>
      </c>
      <c r="AE39" s="4">
        <v>110.886</v>
      </c>
      <c r="AF39" s="4">
        <v>13.945</v>
      </c>
      <c r="AG39" s="4">
        <v>-48.133000000000003</v>
      </c>
      <c r="AH39" s="4">
        <v>110.886</v>
      </c>
      <c r="AI39" s="4">
        <v>13.945</v>
      </c>
      <c r="AJ39" s="4">
        <v>-48.133000000000003</v>
      </c>
      <c r="AK39" s="66">
        <v>3.9800000000000002E-2</v>
      </c>
      <c r="AL39" s="66">
        <v>4.4000000000000003E-3</v>
      </c>
      <c r="AM39" s="66">
        <v>-1.5100000000000001E-2</v>
      </c>
      <c r="AN39" s="66">
        <v>3.9800000000000002E-2</v>
      </c>
      <c r="AO39" s="66">
        <v>4.4000000000000003E-3</v>
      </c>
      <c r="AP39" s="66">
        <v>-1.5100000000000001E-2</v>
      </c>
      <c r="AQ39" s="4">
        <v>2786.08040201005</v>
      </c>
      <c r="AR39" s="4">
        <v>3169.3181818181815</v>
      </c>
      <c r="AS39" s="4">
        <v>3187.6158940397349</v>
      </c>
      <c r="AT39" s="66">
        <v>0.1</v>
      </c>
      <c r="AU39" s="66">
        <v>7.0000000000000007E-2</v>
      </c>
      <c r="AV39" s="66">
        <v>0.19900000000000001</v>
      </c>
      <c r="AW39" s="66">
        <v>0.184</v>
      </c>
      <c r="AX39" s="34">
        <v>0.1095</v>
      </c>
      <c r="AY39" s="34">
        <v>9.4500000000000001E-2</v>
      </c>
      <c r="AZ39" s="66">
        <v>0.14580000000000001</v>
      </c>
      <c r="BA39" s="66">
        <v>0.1</v>
      </c>
      <c r="BB39" s="50"/>
      <c r="BC39" s="50"/>
      <c r="BD39" s="36"/>
      <c r="BE39" s="50"/>
      <c r="BF39" s="50"/>
    </row>
    <row r="40" spans="1:58" x14ac:dyDescent="0.25">
      <c r="E40" s="68"/>
      <c r="F40" s="6"/>
      <c r="G40" s="6"/>
    </row>
    <row r="41" spans="1:58" x14ac:dyDescent="0.25">
      <c r="A41" s="1" t="str">
        <f>IF($J$1="ENG","Note:","Примітки:")</f>
        <v>Примітки:</v>
      </c>
      <c r="D41" s="6"/>
      <c r="E41" s="68"/>
      <c r="F41" s="6"/>
      <c r="G41" s="6"/>
      <c r="H41" s="6"/>
      <c r="M41" s="6"/>
      <c r="N41" s="6"/>
      <c r="V41" s="6"/>
      <c r="W41" s="6"/>
      <c r="X41" s="6"/>
      <c r="Y41" s="6"/>
      <c r="Z41" s="6"/>
      <c r="AA41" s="6"/>
      <c r="AK41" s="6"/>
      <c r="AL41" s="6"/>
      <c r="AM41" s="6"/>
      <c r="AN41" s="6"/>
      <c r="AO41" s="6"/>
      <c r="AP41" s="6"/>
      <c r="AT41" s="6"/>
      <c r="AU41" s="6"/>
      <c r="AV41" s="6"/>
      <c r="AW41" s="6"/>
      <c r="AX41" s="6"/>
      <c r="AY41" s="6"/>
    </row>
    <row r="42" spans="1:58" x14ac:dyDescent="0.25">
      <c r="A42" s="1" t="str">
        <f>IF($J$1="ENG","Foreign banks do not include banks with state Russian capital.","Банки іноземних банківських груп не виключають банки із державним російським капіталом.")</f>
        <v>Банки іноземних банківських груп не виключають банки із державним російським капіталом.</v>
      </c>
      <c r="D42" s="6"/>
      <c r="E42" s="68"/>
      <c r="F42" s="6"/>
      <c r="G42" s="6"/>
      <c r="H42" s="6"/>
      <c r="M42" s="6"/>
      <c r="N42" s="6"/>
      <c r="V42" s="6"/>
      <c r="W42" s="6"/>
      <c r="X42" s="6"/>
      <c r="Y42" s="6"/>
      <c r="Z42" s="6"/>
      <c r="AA42" s="6"/>
      <c r="AK42" s="6"/>
      <c r="AL42" s="6"/>
      <c r="AM42" s="6"/>
      <c r="AN42" s="6"/>
      <c r="AO42" s="6"/>
      <c r="AP42" s="6"/>
      <c r="AT42" s="6"/>
      <c r="AU42" s="6"/>
      <c r="AV42" s="6"/>
      <c r="AW42" s="6"/>
      <c r="AX42" s="6"/>
      <c r="AY42" s="6"/>
    </row>
    <row r="43" spans="1:58" x14ac:dyDescent="0.25">
      <c r="A43" s="1" t="str">
        <f>IF($J$1="ENG","","ОК - основний капітал, РК - регулятивний капітал.")</f>
        <v>ОК - основний капітал, РК - регулятивний капітал.</v>
      </c>
      <c r="D43" s="6"/>
      <c r="E43" s="68"/>
      <c r="F43" s="6"/>
      <c r="G43" s="6"/>
      <c r="H43" s="6"/>
      <c r="M43" s="6"/>
      <c r="N43" s="6"/>
      <c r="V43" s="6"/>
      <c r="W43" s="6"/>
      <c r="X43" s="6"/>
      <c r="Y43" s="6"/>
      <c r="Z43" s="6"/>
      <c r="AA43" s="6"/>
      <c r="AK43" s="6"/>
      <c r="AL43" s="6"/>
      <c r="AM43" s="6"/>
      <c r="AN43" s="6"/>
      <c r="AO43" s="6"/>
      <c r="AP43" s="6"/>
      <c r="AT43" s="6"/>
      <c r="AU43" s="6"/>
      <c r="AV43" s="6"/>
      <c r="AW43" s="6"/>
      <c r="AX43" s="6"/>
      <c r="AY43" s="6"/>
    </row>
    <row r="44" spans="1:58" x14ac:dyDescent="0.25">
      <c r="A44" s="1" t="str">
        <f>IF($J$1="ENG","*According to the restructuring/capitalization plans by 30 Jun 2022, approved by the NBU, without taking into account the impact of market and credit risk of government securities","*Відповідно до погоджених НБУ програм реструктуризації/капіталізації до 30.06.2022, в тому числі без урахування впливу ринкового та кредитного ризику за державними цінними паперами")</f>
        <v>*Відповідно до погоджених НБУ програм реструктуризації/капіталізації до 30.06.2022, в тому числі без урахування впливу ринкового та кредитного ризику за державними цінними паперами</v>
      </c>
      <c r="D44" s="6"/>
      <c r="E44" s="68"/>
      <c r="F44" s="6"/>
      <c r="G44" s="6"/>
      <c r="H44" s="6"/>
      <c r="M44" s="6"/>
      <c r="N44" s="6"/>
      <c r="V44" s="6"/>
      <c r="W44" s="6"/>
      <c r="X44" s="6"/>
      <c r="Y44" s="6"/>
      <c r="Z44" s="6"/>
      <c r="AA44" s="6"/>
      <c r="AK44" s="6"/>
      <c r="AL44" s="6"/>
      <c r="AM44" s="6"/>
      <c r="AN44" s="6"/>
      <c r="AO44" s="6"/>
      <c r="AP44" s="6"/>
      <c r="AT44" s="6"/>
      <c r="AU44" s="6"/>
      <c r="AV44" s="6"/>
      <c r="AW44" s="6"/>
      <c r="AX44" s="6"/>
      <c r="AY44" s="6"/>
    </row>
    <row r="45" spans="1:58" x14ac:dyDescent="0.25">
      <c r="A45" s="90" t="str">
        <f>IF($J$1="ENG",$A$46,$A$47)</f>
        <v>Оновлено необхідні  рівні нормативів достатності (адекватності) регулятивного капіталу (Н2) та достатності основного капіталу (H3) для АТ “ПРАВЕКС БАНК” відповідно до погодженої НБУ програми реструктуризації/капіталізації. З урахуванням вжитих і запланованих заходів необхідний рівень знизився з 29.1% до 25.8% за Н2, з 29.1% до 25.8% за Н3.</v>
      </c>
      <c r="D45" s="6"/>
      <c r="E45" s="68"/>
      <c r="F45" s="6"/>
      <c r="G45" s="6"/>
      <c r="H45" s="134"/>
      <c r="M45" s="6"/>
      <c r="N45" s="6"/>
      <c r="V45" s="6"/>
      <c r="W45" s="6"/>
      <c r="X45" s="6"/>
      <c r="Y45" s="6"/>
      <c r="Z45" s="6"/>
      <c r="AA45" s="6"/>
      <c r="AK45" s="6"/>
      <c r="AL45" s="6"/>
      <c r="AM45" s="6"/>
      <c r="AN45" s="6"/>
      <c r="AO45" s="6"/>
      <c r="AP45" s="6"/>
      <c r="AT45" s="6"/>
      <c r="AU45" s="6"/>
      <c r="AV45" s="6"/>
      <c r="AW45" s="6"/>
      <c r="AX45" s="6"/>
      <c r="AY45" s="6"/>
    </row>
    <row r="46" spans="1:58" x14ac:dyDescent="0.25">
      <c r="A46" s="64" t="s">
        <v>7</v>
      </c>
      <c r="D46" s="6"/>
      <c r="E46" s="68"/>
      <c r="F46" s="6"/>
      <c r="G46" s="6"/>
      <c r="H46" s="6"/>
      <c r="M46" s="6"/>
      <c r="N46" s="6"/>
      <c r="V46" s="6"/>
      <c r="W46" s="6"/>
      <c r="X46" s="6"/>
      <c r="Y46" s="6"/>
      <c r="Z46" s="6"/>
      <c r="AA46" s="6"/>
      <c r="AK46" s="6"/>
      <c r="AL46" s="6"/>
      <c r="AM46" s="6"/>
      <c r="AN46" s="6"/>
      <c r="AO46" s="6"/>
      <c r="AP46" s="6"/>
      <c r="AT46" s="6"/>
      <c r="AU46" s="6"/>
      <c r="AV46" s="6"/>
      <c r="AW46" s="6"/>
      <c r="AX46" s="6"/>
      <c r="AY46" s="6"/>
    </row>
    <row r="47" spans="1:58" x14ac:dyDescent="0.25">
      <c r="A47" s="64" t="s">
        <v>6</v>
      </c>
      <c r="D47" s="6"/>
      <c r="E47" s="68"/>
      <c r="F47" s="6"/>
      <c r="G47" s="6"/>
      <c r="H47" s="6"/>
      <c r="M47" s="6"/>
      <c r="N47" s="6"/>
      <c r="V47" s="6"/>
      <c r="W47" s="6"/>
      <c r="X47" s="6"/>
      <c r="Y47" s="6"/>
      <c r="Z47" s="6"/>
      <c r="AA47" s="6"/>
      <c r="AK47" s="6"/>
      <c r="AL47" s="6"/>
      <c r="AM47" s="6"/>
      <c r="AN47" s="6"/>
      <c r="AO47" s="6"/>
      <c r="AP47" s="6"/>
      <c r="AT47" s="6"/>
      <c r="AU47" s="6"/>
      <c r="AV47" s="6"/>
      <c r="AW47" s="6"/>
      <c r="AX47" s="6"/>
      <c r="AY47" s="6"/>
    </row>
    <row r="48" spans="1:58" x14ac:dyDescent="0.25">
      <c r="D48" s="6"/>
      <c r="E48" s="68"/>
      <c r="F48" s="6"/>
      <c r="G48" s="6"/>
      <c r="H48" s="6"/>
      <c r="M48" s="6"/>
      <c r="N48" s="6"/>
      <c r="V48" s="6"/>
      <c r="W48" s="6"/>
      <c r="X48" s="6"/>
      <c r="Y48" s="6"/>
      <c r="Z48" s="6"/>
      <c r="AA48" s="6"/>
      <c r="AK48" s="6"/>
      <c r="AL48" s="6"/>
      <c r="AM48" s="6"/>
      <c r="AN48" s="6"/>
      <c r="AO48" s="6"/>
      <c r="AP48" s="6"/>
      <c r="AT48" s="6"/>
      <c r="AU48" s="6"/>
      <c r="AV48" s="6"/>
      <c r="AW48" s="6"/>
      <c r="AX48" s="6"/>
      <c r="AY48" s="6"/>
    </row>
    <row r="49" spans="5:51" x14ac:dyDescent="0.25">
      <c r="E49" s="68"/>
      <c r="F49" s="6"/>
      <c r="G49" s="6"/>
      <c r="H49" s="6"/>
      <c r="M49" s="6"/>
      <c r="N49" s="6"/>
      <c r="V49" s="6"/>
      <c r="W49" s="6"/>
      <c r="X49" s="6"/>
      <c r="Y49" s="6"/>
      <c r="Z49" s="6"/>
      <c r="AA49" s="6"/>
      <c r="AK49" s="6"/>
      <c r="AL49" s="6"/>
      <c r="AM49" s="6"/>
      <c r="AN49" s="6"/>
      <c r="AO49" s="6"/>
      <c r="AP49" s="6"/>
      <c r="AT49" s="6"/>
      <c r="AU49" s="6"/>
      <c r="AV49" s="6"/>
      <c r="AW49" s="6"/>
      <c r="AX49" s="6"/>
      <c r="AY49" s="6"/>
    </row>
    <row r="50" spans="5:51" x14ac:dyDescent="0.25">
      <c r="E50" s="68"/>
      <c r="F50" s="6"/>
      <c r="G50" s="6"/>
      <c r="H50" s="6"/>
      <c r="M50" s="6"/>
      <c r="N50" s="6"/>
      <c r="V50" s="6"/>
      <c r="W50" s="6"/>
      <c r="X50" s="6"/>
      <c r="Y50" s="6"/>
      <c r="Z50" s="6"/>
      <c r="AA50" s="6"/>
      <c r="AK50" s="6"/>
      <c r="AL50" s="6"/>
      <c r="AM50" s="6"/>
      <c r="AN50" s="6"/>
      <c r="AO50" s="6"/>
      <c r="AP50" s="6"/>
      <c r="AT50" s="6"/>
      <c r="AU50" s="6"/>
      <c r="AV50" s="6"/>
      <c r="AW50" s="6"/>
      <c r="AX50" s="6"/>
      <c r="AY50" s="6"/>
    </row>
    <row r="51" spans="5:51" x14ac:dyDescent="0.25">
      <c r="E51" s="68"/>
      <c r="F51" s="6"/>
      <c r="G51" s="6"/>
      <c r="H51" s="6"/>
      <c r="M51" s="6"/>
      <c r="N51" s="6"/>
      <c r="V51" s="6"/>
      <c r="W51" s="6"/>
      <c r="X51" s="6"/>
      <c r="Y51" s="6"/>
      <c r="Z51" s="6"/>
      <c r="AA51" s="6"/>
      <c r="AK51" s="6"/>
      <c r="AL51" s="6"/>
      <c r="AM51" s="6"/>
      <c r="AN51" s="6"/>
      <c r="AO51" s="6"/>
      <c r="AP51" s="6"/>
      <c r="AT51" s="6"/>
      <c r="AU51" s="6"/>
      <c r="AV51" s="6"/>
      <c r="AW51" s="6"/>
      <c r="AX51" s="6"/>
      <c r="AY51" s="6"/>
    </row>
    <row r="52" spans="5:51" x14ac:dyDescent="0.25">
      <c r="E52" s="68"/>
      <c r="F52" s="6"/>
      <c r="G52" s="6"/>
      <c r="H52" s="6"/>
      <c r="M52" s="6"/>
      <c r="N52" s="6"/>
      <c r="V52" s="6"/>
      <c r="W52" s="6"/>
      <c r="X52" s="6"/>
      <c r="Y52" s="6"/>
      <c r="Z52" s="6"/>
      <c r="AA52" s="6"/>
      <c r="AK52" s="6"/>
      <c r="AL52" s="6"/>
      <c r="AM52" s="6"/>
      <c r="AN52" s="6"/>
      <c r="AO52" s="6"/>
      <c r="AP52" s="6"/>
      <c r="AT52" s="6"/>
      <c r="AU52" s="6"/>
      <c r="AV52" s="6"/>
      <c r="AW52" s="6"/>
      <c r="AX52" s="6"/>
      <c r="AY52" s="6"/>
    </row>
    <row r="53" spans="5:51" x14ac:dyDescent="0.25">
      <c r="E53" s="68"/>
      <c r="F53" s="6"/>
      <c r="G53" s="6"/>
      <c r="H53" s="6"/>
      <c r="M53" s="6"/>
      <c r="N53" s="6"/>
      <c r="V53" s="6"/>
      <c r="W53" s="6"/>
      <c r="X53" s="6"/>
      <c r="Y53" s="6"/>
      <c r="Z53" s="6"/>
      <c r="AA53" s="6"/>
      <c r="AK53" s="6"/>
      <c r="AL53" s="6"/>
      <c r="AM53" s="6"/>
      <c r="AN53" s="6"/>
      <c r="AO53" s="6"/>
      <c r="AP53" s="6"/>
      <c r="AT53" s="6"/>
      <c r="AU53" s="6"/>
      <c r="AV53" s="6"/>
      <c r="AW53" s="6"/>
      <c r="AX53" s="6"/>
      <c r="AY53" s="6"/>
    </row>
    <row r="54" spans="5:51" x14ac:dyDescent="0.25">
      <c r="E54" s="68"/>
      <c r="F54" s="6"/>
      <c r="G54" s="6"/>
      <c r="H54" s="6"/>
      <c r="M54" s="6"/>
      <c r="N54" s="6"/>
      <c r="V54" s="6"/>
      <c r="W54" s="6"/>
      <c r="X54" s="6"/>
      <c r="Y54" s="6"/>
      <c r="Z54" s="6"/>
      <c r="AA54" s="6"/>
      <c r="AK54" s="6"/>
      <c r="AL54" s="6"/>
      <c r="AM54" s="6"/>
      <c r="AN54" s="6"/>
      <c r="AO54" s="6"/>
      <c r="AP54" s="6"/>
      <c r="AT54" s="6"/>
      <c r="AU54" s="6"/>
      <c r="AV54" s="6"/>
      <c r="AW54" s="6"/>
      <c r="AX54" s="6"/>
      <c r="AY54" s="6"/>
    </row>
    <row r="55" spans="5:51" x14ac:dyDescent="0.25">
      <c r="E55" s="68"/>
      <c r="F55" s="6"/>
      <c r="G55" s="6"/>
      <c r="H55" s="6"/>
      <c r="M55" s="6"/>
      <c r="N55" s="6"/>
      <c r="V55" s="6"/>
      <c r="W55" s="6"/>
      <c r="X55" s="6"/>
      <c r="Y55" s="6"/>
      <c r="Z55" s="6"/>
      <c r="AA55" s="6"/>
      <c r="AK55" s="6"/>
      <c r="AL55" s="6"/>
      <c r="AM55" s="6"/>
      <c r="AN55" s="6"/>
      <c r="AO55" s="6"/>
      <c r="AP55" s="6"/>
      <c r="AT55" s="6"/>
      <c r="AU55" s="6"/>
      <c r="AV55" s="6"/>
      <c r="AW55" s="6"/>
      <c r="AX55" s="6"/>
      <c r="AY55" s="6"/>
    </row>
    <row r="56" spans="5:51" x14ac:dyDescent="0.25">
      <c r="E56" s="68"/>
      <c r="F56" s="6"/>
      <c r="G56" s="6"/>
      <c r="H56" s="6"/>
      <c r="M56" s="6"/>
      <c r="N56" s="6"/>
      <c r="V56" s="6"/>
      <c r="W56" s="6"/>
      <c r="X56" s="6"/>
      <c r="Y56" s="6"/>
      <c r="Z56" s="6"/>
      <c r="AA56" s="6"/>
      <c r="AK56" s="6"/>
      <c r="AL56" s="6"/>
      <c r="AM56" s="6"/>
      <c r="AN56" s="6"/>
      <c r="AO56" s="6"/>
      <c r="AP56" s="6"/>
      <c r="AT56" s="6"/>
      <c r="AU56" s="6"/>
      <c r="AV56" s="6"/>
      <c r="AW56" s="6"/>
      <c r="AX56" s="6"/>
      <c r="AY56" s="6"/>
    </row>
    <row r="57" spans="5:51" x14ac:dyDescent="0.25">
      <c r="E57" s="6"/>
      <c r="F57" s="6"/>
      <c r="G57" s="6"/>
      <c r="H57" s="6"/>
      <c r="M57" s="6"/>
      <c r="N57" s="6"/>
      <c r="V57" s="6"/>
      <c r="W57" s="6"/>
      <c r="X57" s="6"/>
      <c r="Y57" s="6"/>
      <c r="Z57" s="6"/>
      <c r="AA57" s="6"/>
      <c r="AK57" s="6"/>
      <c r="AL57" s="6"/>
      <c r="AM57" s="6"/>
      <c r="AN57" s="6"/>
      <c r="AO57" s="6"/>
      <c r="AP57" s="6"/>
      <c r="AT57" s="6"/>
      <c r="AU57" s="6"/>
      <c r="AV57" s="6"/>
      <c r="AW57" s="6"/>
      <c r="AX57" s="6"/>
      <c r="AY57" s="6"/>
    </row>
    <row r="58" spans="5:51" x14ac:dyDescent="0.25">
      <c r="E58" s="6"/>
      <c r="F58" s="6"/>
      <c r="G58" s="6"/>
      <c r="H58" s="6"/>
      <c r="M58" s="6"/>
      <c r="N58" s="6"/>
      <c r="V58" s="6"/>
      <c r="W58" s="6"/>
      <c r="X58" s="6"/>
      <c r="Y58" s="6"/>
      <c r="Z58" s="6"/>
      <c r="AA58" s="6"/>
      <c r="AK58" s="6"/>
      <c r="AL58" s="6"/>
      <c r="AM58" s="6"/>
      <c r="AN58" s="6"/>
      <c r="AO58" s="6"/>
      <c r="AP58" s="6"/>
      <c r="AT58" s="6"/>
      <c r="AU58" s="6"/>
      <c r="AV58" s="6"/>
      <c r="AW58" s="6"/>
      <c r="AX58" s="6"/>
      <c r="AY58" s="6"/>
    </row>
    <row r="59" spans="5:51" x14ac:dyDescent="0.25">
      <c r="E59" s="6"/>
      <c r="F59" s="6"/>
      <c r="G59" s="6"/>
      <c r="H59" s="6"/>
      <c r="M59" s="6"/>
      <c r="N59" s="6"/>
      <c r="V59" s="6"/>
      <c r="W59" s="6"/>
      <c r="X59" s="6"/>
      <c r="Y59" s="6"/>
      <c r="Z59" s="6"/>
      <c r="AA59" s="6"/>
      <c r="AK59" s="6"/>
      <c r="AL59" s="6"/>
      <c r="AM59" s="6"/>
      <c r="AN59" s="6"/>
      <c r="AO59" s="6"/>
      <c r="AP59" s="6"/>
      <c r="AT59" s="6"/>
      <c r="AU59" s="6"/>
      <c r="AV59" s="6"/>
      <c r="AW59" s="6"/>
      <c r="AX59" s="6"/>
      <c r="AY59" s="6"/>
    </row>
    <row r="60" spans="5:51" x14ac:dyDescent="0.25">
      <c r="E60" s="6"/>
      <c r="F60" s="6"/>
      <c r="G60" s="6"/>
      <c r="H60" s="6"/>
      <c r="M60" s="6"/>
      <c r="N60" s="6"/>
      <c r="V60" s="6"/>
      <c r="W60" s="6"/>
      <c r="X60" s="6"/>
      <c r="Y60" s="6"/>
      <c r="Z60" s="6"/>
      <c r="AA60" s="6"/>
      <c r="AK60" s="6"/>
      <c r="AL60" s="6"/>
      <c r="AM60" s="6"/>
      <c r="AN60" s="6"/>
      <c r="AO60" s="6"/>
      <c r="AP60" s="6"/>
      <c r="AT60" s="6"/>
      <c r="AU60" s="6"/>
      <c r="AV60" s="6"/>
      <c r="AW60" s="6"/>
      <c r="AX60" s="6"/>
      <c r="AY60" s="6"/>
    </row>
    <row r="61" spans="5:51" x14ac:dyDescent="0.25">
      <c r="G61" s="6"/>
      <c r="H61" s="6"/>
      <c r="M61" s="6"/>
      <c r="N61" s="6"/>
      <c r="V61" s="6"/>
      <c r="W61" s="6"/>
      <c r="X61" s="6"/>
      <c r="Y61" s="6"/>
      <c r="Z61" s="6"/>
      <c r="AA61" s="6"/>
      <c r="AK61" s="6"/>
      <c r="AL61" s="6"/>
      <c r="AM61" s="6"/>
      <c r="AN61" s="6"/>
      <c r="AO61" s="6"/>
      <c r="AP61" s="6"/>
      <c r="AT61" s="6"/>
      <c r="AU61" s="6"/>
      <c r="AV61" s="6"/>
      <c r="AW61" s="6"/>
      <c r="AX61" s="6"/>
      <c r="AY61" s="6"/>
    </row>
    <row r="62" spans="5:51" x14ac:dyDescent="0.25">
      <c r="G62" s="6"/>
      <c r="H62" s="6"/>
      <c r="M62" s="6"/>
      <c r="N62" s="6"/>
      <c r="V62" s="6"/>
      <c r="W62" s="6"/>
      <c r="X62" s="6"/>
      <c r="Y62" s="6"/>
      <c r="Z62" s="6"/>
      <c r="AA62" s="6"/>
      <c r="AK62" s="6"/>
      <c r="AL62" s="6"/>
      <c r="AM62" s="6"/>
      <c r="AN62" s="6"/>
      <c r="AO62" s="6"/>
      <c r="AP62" s="6"/>
      <c r="AT62" s="6"/>
      <c r="AU62" s="6"/>
      <c r="AV62" s="6"/>
      <c r="AW62" s="6"/>
      <c r="AX62" s="6"/>
      <c r="AY62" s="6"/>
    </row>
    <row r="63" spans="5:51" x14ac:dyDescent="0.25">
      <c r="G63" s="6"/>
      <c r="H63" s="6"/>
      <c r="M63" s="6"/>
      <c r="N63" s="6"/>
      <c r="V63" s="6"/>
      <c r="W63" s="6"/>
      <c r="X63" s="6"/>
      <c r="Y63" s="6"/>
      <c r="Z63" s="6"/>
      <c r="AA63" s="6"/>
      <c r="AK63" s="6"/>
      <c r="AL63" s="6"/>
      <c r="AM63" s="6"/>
      <c r="AN63" s="6"/>
      <c r="AO63" s="6"/>
      <c r="AP63" s="6"/>
      <c r="AT63" s="6"/>
      <c r="AU63" s="6"/>
      <c r="AV63" s="6"/>
      <c r="AW63" s="6"/>
      <c r="AX63" s="6"/>
      <c r="AY63" s="6"/>
    </row>
    <row r="64" spans="5:51" x14ac:dyDescent="0.25">
      <c r="G64" s="6"/>
      <c r="H64" s="6"/>
      <c r="M64" s="6"/>
      <c r="N64" s="6"/>
      <c r="V64" s="6"/>
      <c r="W64" s="6"/>
      <c r="X64" s="6"/>
      <c r="Y64" s="6"/>
      <c r="Z64" s="6"/>
      <c r="AA64" s="6"/>
      <c r="AK64" s="6"/>
      <c r="AL64" s="6"/>
      <c r="AM64" s="6"/>
      <c r="AN64" s="6"/>
      <c r="AO64" s="6"/>
      <c r="AP64" s="6"/>
      <c r="AT64" s="6"/>
      <c r="AU64" s="6"/>
      <c r="AV64" s="6"/>
      <c r="AW64" s="6"/>
      <c r="AX64" s="6"/>
      <c r="AY64" s="6"/>
    </row>
    <row r="65" spans="7:51" x14ac:dyDescent="0.25">
      <c r="G65" s="6"/>
      <c r="H65" s="6"/>
      <c r="M65" s="6"/>
      <c r="N65" s="6"/>
      <c r="V65" s="6"/>
      <c r="W65" s="6"/>
      <c r="X65" s="6"/>
      <c r="Y65" s="6"/>
      <c r="Z65" s="6"/>
      <c r="AA65" s="6"/>
      <c r="AK65" s="6"/>
      <c r="AL65" s="6"/>
      <c r="AM65" s="6"/>
      <c r="AN65" s="6"/>
      <c r="AO65" s="6"/>
      <c r="AP65" s="6"/>
      <c r="AT65" s="6"/>
      <c r="AU65" s="6"/>
      <c r="AV65" s="6"/>
      <c r="AW65" s="6"/>
      <c r="AX65" s="6"/>
      <c r="AY65" s="6"/>
    </row>
    <row r="66" spans="7:51" x14ac:dyDescent="0.25">
      <c r="G66" s="6"/>
      <c r="H66" s="6"/>
      <c r="M66" s="6"/>
      <c r="N66" s="6"/>
      <c r="V66" s="6"/>
      <c r="W66" s="6"/>
      <c r="X66" s="6"/>
      <c r="Y66" s="6"/>
      <c r="Z66" s="6"/>
      <c r="AA66" s="6"/>
      <c r="AK66" s="6"/>
      <c r="AL66" s="6"/>
      <c r="AM66" s="6"/>
      <c r="AN66" s="6"/>
      <c r="AO66" s="6"/>
      <c r="AP66" s="6"/>
      <c r="AT66" s="6"/>
      <c r="AU66" s="6"/>
      <c r="AV66" s="6"/>
      <c r="AW66" s="6"/>
      <c r="AX66" s="6"/>
      <c r="AY66" s="6"/>
    </row>
    <row r="67" spans="7:51" x14ac:dyDescent="0.25">
      <c r="G67" s="6"/>
      <c r="H67" s="6"/>
      <c r="M67" s="6"/>
      <c r="N67" s="6"/>
      <c r="V67" s="6"/>
      <c r="W67" s="6"/>
      <c r="X67" s="6"/>
      <c r="Y67" s="6"/>
      <c r="Z67" s="6"/>
      <c r="AA67" s="6"/>
      <c r="AK67" s="6"/>
      <c r="AL67" s="6"/>
      <c r="AM67" s="6"/>
      <c r="AN67" s="6"/>
      <c r="AO67" s="6"/>
      <c r="AP67" s="6"/>
      <c r="AT67" s="6"/>
      <c r="AU67" s="6"/>
      <c r="AV67" s="6"/>
      <c r="AW67" s="6"/>
      <c r="AX67" s="6"/>
      <c r="AY67" s="6"/>
    </row>
    <row r="68" spans="7:51" x14ac:dyDescent="0.25">
      <c r="G68" s="6"/>
      <c r="H68" s="6"/>
      <c r="M68" s="6"/>
      <c r="N68" s="6"/>
      <c r="V68" s="6"/>
      <c r="W68" s="6"/>
      <c r="X68" s="6"/>
      <c r="Y68" s="6"/>
      <c r="Z68" s="6"/>
      <c r="AA68" s="6"/>
      <c r="AK68" s="6"/>
      <c r="AL68" s="6"/>
      <c r="AM68" s="6"/>
      <c r="AN68" s="6"/>
      <c r="AO68" s="6"/>
      <c r="AP68" s="6"/>
      <c r="AT68" s="6"/>
      <c r="AU68" s="6"/>
      <c r="AV68" s="6"/>
      <c r="AW68" s="6"/>
      <c r="AX68" s="6"/>
      <c r="AY68" s="6"/>
    </row>
    <row r="69" spans="7:51" x14ac:dyDescent="0.25">
      <c r="G69" s="6"/>
      <c r="H69" s="6"/>
      <c r="M69" s="6"/>
      <c r="N69" s="6"/>
      <c r="V69" s="6"/>
      <c r="W69" s="6"/>
      <c r="X69" s="6"/>
      <c r="Y69" s="6"/>
      <c r="Z69" s="6"/>
      <c r="AA69" s="6"/>
      <c r="AK69" s="6"/>
      <c r="AL69" s="6"/>
      <c r="AM69" s="6"/>
      <c r="AN69" s="6"/>
      <c r="AO69" s="6"/>
      <c r="AP69" s="6"/>
      <c r="AT69" s="6"/>
      <c r="AU69" s="6"/>
      <c r="AV69" s="6"/>
      <c r="AW69" s="6"/>
      <c r="AX69" s="6"/>
      <c r="AY69" s="6"/>
    </row>
    <row r="70" spans="7:51" x14ac:dyDescent="0.25">
      <c r="G70" s="6"/>
      <c r="H70" s="6"/>
      <c r="M70" s="6"/>
      <c r="N70" s="6"/>
      <c r="V70" s="6"/>
      <c r="W70" s="6"/>
      <c r="X70" s="6"/>
      <c r="Y70" s="6"/>
      <c r="Z70" s="6"/>
      <c r="AA70" s="6"/>
      <c r="AK70" s="6"/>
      <c r="AL70" s="6"/>
      <c r="AM70" s="6"/>
      <c r="AN70" s="6"/>
      <c r="AO70" s="6"/>
      <c r="AP70" s="6"/>
      <c r="AT70" s="6"/>
      <c r="AU70" s="6"/>
      <c r="AV70" s="6"/>
      <c r="AW70" s="6"/>
      <c r="AX70" s="6"/>
      <c r="AY70" s="6"/>
    </row>
    <row r="71" spans="7:51" x14ac:dyDescent="0.25">
      <c r="H71" s="6"/>
      <c r="AV71" s="133"/>
      <c r="AW71" s="133"/>
      <c r="AX71" s="133"/>
      <c r="AY71" s="133"/>
    </row>
    <row r="72" spans="7:51" x14ac:dyDescent="0.25">
      <c r="AV72" s="133"/>
      <c r="AW72" s="133"/>
      <c r="AX72" s="133"/>
      <c r="AY72" s="133"/>
    </row>
    <row r="73" spans="7:51" x14ac:dyDescent="0.25">
      <c r="AV73" s="133"/>
      <c r="AW73" s="133"/>
      <c r="AX73" s="133"/>
      <c r="AY73" s="133"/>
    </row>
    <row r="74" spans="7:51" x14ac:dyDescent="0.25">
      <c r="AV74" s="133"/>
      <c r="AW74" s="133"/>
      <c r="AX74" s="133"/>
      <c r="AY74" s="133"/>
    </row>
  </sheetData>
  <sheetProtection algorithmName="SHA-512" hashValue="lUOyJC3NEeoL5HS/zjd1PrXFhU9L+jE4SBK1DQJSBC6ztq//RsLADVHILKPEd9xurZVPw9fggm7wxwb45Y3qcw==" saltValue="XGKiSy0KnfBjzylhkRz63w==" spinCount="100000" sheet="1" objects="1" scenarios="1"/>
  <mergeCells count="44">
    <mergeCell ref="AT4:AU5"/>
    <mergeCell ref="AH8:AJ8"/>
    <mergeCell ref="AK8:AM8"/>
    <mergeCell ref="AN8:AP8"/>
    <mergeCell ref="AT6:AU6"/>
    <mergeCell ref="AT7:AT8"/>
    <mergeCell ref="AU7:AU8"/>
    <mergeCell ref="AE8:AG8"/>
    <mergeCell ref="AB8:AD8"/>
    <mergeCell ref="AQ8:AS8"/>
    <mergeCell ref="D4:D8"/>
    <mergeCell ref="E4:I5"/>
    <mergeCell ref="J4:O5"/>
    <mergeCell ref="E7:I8"/>
    <mergeCell ref="J7:O8"/>
    <mergeCell ref="P4:AD5"/>
    <mergeCell ref="AE4:AS5"/>
    <mergeCell ref="AB6:AD6"/>
    <mergeCell ref="AE6:AG6"/>
    <mergeCell ref="AK6:AM6"/>
    <mergeCell ref="AH6:AJ6"/>
    <mergeCell ref="AQ6:AS6"/>
    <mergeCell ref="AN6:AP6"/>
    <mergeCell ref="S6:U6"/>
    <mergeCell ref="V6:X6"/>
    <mergeCell ref="Y6:AA6"/>
    <mergeCell ref="S8:U8"/>
    <mergeCell ref="V8:X8"/>
    <mergeCell ref="Y8:AA8"/>
    <mergeCell ref="A4:A8"/>
    <mergeCell ref="B4:B8"/>
    <mergeCell ref="C4:C8"/>
    <mergeCell ref="P8:R8"/>
    <mergeCell ref="P6:R6"/>
    <mergeCell ref="AZ4:BA6"/>
    <mergeCell ref="AV7:AV8"/>
    <mergeCell ref="AX7:AX8"/>
    <mergeCell ref="AW7:AW8"/>
    <mergeCell ref="AY7:AY8"/>
    <mergeCell ref="AV6:AW6"/>
    <mergeCell ref="AZ7:AZ8"/>
    <mergeCell ref="BA7:BA8"/>
    <mergeCell ref="AV4:AY5"/>
    <mergeCell ref="AX6:AY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8</xdr:col>
                    <xdr:colOff>1485900</xdr:colOff>
                    <xdr:row>0</xdr:row>
                    <xdr:rowOff>0</xdr:rowOff>
                  </from>
                  <to>
                    <xdr:col>10</xdr:col>
                    <xdr:colOff>101600</xdr:colOff>
                    <xdr:row>1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Аркуш11"/>
  <dimension ref="A1:BE59"/>
  <sheetViews>
    <sheetView zoomScale="80" zoomScaleNormal="80" workbookViewId="0">
      <pane xSplit="3" ySplit="9" topLeftCell="D40" activePane="bottomRight" state="frozen"/>
      <selection pane="topRight" activeCell="D1" sqref="D1"/>
      <selection pane="bottomLeft" activeCell="A14" sqref="A14"/>
      <selection pane="bottomRight" activeCell="A44" sqref="A44"/>
    </sheetView>
  </sheetViews>
  <sheetFormatPr defaultColWidth="8.90625" defaultRowHeight="12.5" x14ac:dyDescent="0.25"/>
  <cols>
    <col min="1" max="1" width="5.54296875" style="1" customWidth="1"/>
    <col min="2" max="2" width="6.54296875" style="1" customWidth="1"/>
    <col min="3" max="4" width="32.54296875" style="1" customWidth="1"/>
    <col min="5" max="5" width="12.6328125" style="1" customWidth="1"/>
    <col min="6" max="6" width="13.90625" style="1" customWidth="1"/>
    <col min="7" max="7" width="10.453125" style="1" customWidth="1"/>
    <col min="8" max="8" width="9" style="1" customWidth="1"/>
    <col min="9" max="9" width="23" style="1" hidden="1" customWidth="1"/>
    <col min="10" max="10" width="14.54296875" style="1" customWidth="1"/>
    <col min="11" max="12" width="11.36328125" style="1" bestFit="1" customWidth="1"/>
    <col min="13" max="13" width="10.36328125" style="1" customWidth="1"/>
    <col min="14" max="14" width="9" style="1" bestFit="1" customWidth="1"/>
    <col min="15" max="15" width="22.1796875" style="1" hidden="1" customWidth="1"/>
    <col min="16" max="21" width="11.36328125" style="1" bestFit="1" customWidth="1"/>
    <col min="22" max="26" width="9" style="1" bestFit="1" customWidth="1"/>
    <col min="27" max="27" width="9" style="1" customWidth="1"/>
    <col min="28" max="30" width="9" style="1" hidden="1" customWidth="1"/>
    <col min="31" max="31" width="10.6328125" style="1" bestFit="1" customWidth="1"/>
    <col min="32" max="33" width="11.36328125" style="1" bestFit="1" customWidth="1"/>
    <col min="34" max="34" width="10.6328125" style="1" bestFit="1" customWidth="1"/>
    <col min="35" max="36" width="11.36328125" style="1" bestFit="1" customWidth="1"/>
    <col min="37" max="37" width="9" style="1" bestFit="1" customWidth="1"/>
    <col min="38" max="38" width="10.54296875" style="1" customWidth="1"/>
    <col min="39" max="39" width="9.6328125" style="1" bestFit="1" customWidth="1"/>
    <col min="40" max="40" width="9" style="1" bestFit="1" customWidth="1"/>
    <col min="41" max="42" width="9.6328125" style="1" bestFit="1" customWidth="1"/>
    <col min="43" max="45" width="9.6328125" style="1" hidden="1" customWidth="1"/>
    <col min="46" max="47" width="9.6328125" style="1" customWidth="1"/>
    <col min="48" max="48" width="14.1796875" style="1" customWidth="1"/>
    <col min="49" max="50" width="14" style="1" customWidth="1"/>
    <col min="51" max="51" width="19.453125" style="1" customWidth="1"/>
    <col min="52" max="52" width="17.90625" style="1" customWidth="1"/>
    <col min="53" max="53" width="14.36328125" style="1" customWidth="1"/>
    <col min="54" max="55" width="17" style="1" customWidth="1"/>
    <col min="56" max="16384" width="8.90625" style="1"/>
  </cols>
  <sheetData>
    <row r="1" spans="1:57" ht="13" x14ac:dyDescent="0.3">
      <c r="J1" s="56" t="str">
        <f>'Individual banks'!K1</f>
        <v>UA</v>
      </c>
      <c r="K1" s="62" t="str">
        <f>IF($J$1="ENG","Змінити мову тут","Change language here")</f>
        <v>Change language here</v>
      </c>
    </row>
    <row r="2" spans="1:57" ht="14.4" customHeight="1" x14ac:dyDescent="0.3">
      <c r="B2" s="49" t="str">
        <f>IF($J$1="ENG","Results of stress test of banks and Ukrainian banking system","Результати стрес-тестування банків та банківської системи України")</f>
        <v>Результати стрес-тестування банків та банківської системи України</v>
      </c>
      <c r="C2" s="48"/>
      <c r="D2" s="33"/>
    </row>
    <row r="3" spans="1:57" x14ac:dyDescent="0.25">
      <c r="C3" s="35"/>
      <c r="D3" s="35"/>
    </row>
    <row r="4" spans="1:57" ht="36" customHeight="1" x14ac:dyDescent="0.25">
      <c r="A4" s="170" t="str">
        <f>IF($J$1="ENG","#","№ з/п")</f>
        <v>№ з/п</v>
      </c>
      <c r="B4" s="170" t="str">
        <f>IF($J$1="ENG","NKB","НКБ")</f>
        <v>НКБ</v>
      </c>
      <c r="C4" s="170" t="str">
        <f>IF($J$1="ENG","Name","Назва")</f>
        <v>Назва</v>
      </c>
      <c r="D4" s="170" t="str">
        <f>IF($J$1="ENG","Group","Група")</f>
        <v>Група</v>
      </c>
      <c r="E4" s="174" t="str">
        <f>IF($J$1="ENG","Bank's data","Дані банку")</f>
        <v>Дані банку</v>
      </c>
      <c r="F4" s="175"/>
      <c r="G4" s="175"/>
      <c r="H4" s="175"/>
      <c r="I4" s="176"/>
      <c r="J4" s="174" t="str">
        <f>IF($J$1="ENG","Asset quality review","Дані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екстраполяції")</f>
        <v>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v>
      </c>
      <c r="K4" s="175"/>
      <c r="L4" s="175"/>
      <c r="M4" s="175"/>
      <c r="N4" s="175"/>
      <c r="O4" s="176"/>
      <c r="P4" s="174" t="str">
        <f>IF($J$1="ENG","Baseline scenario","За базовим макроекономічним сценарієм")</f>
        <v>За базовим макроекономічним сценарієм</v>
      </c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4" t="str">
        <f>IF($J$1="ENG","Adverse scenario","За несприятливим макроекономічним сценарієм")</f>
        <v>За несприятливим макроекономічним сценарієм</v>
      </c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62" t="str">
        <f>IF($J$1="ENG","Required (target) capital adequacy level","Необхідний (цільовий) рівень нормативів")</f>
        <v>Необхідний (цільовий) рівень нормативів</v>
      </c>
      <c r="AU4" s="163"/>
      <c r="AV4" s="163"/>
      <c r="AW4" s="163"/>
      <c r="AX4" s="164"/>
      <c r="AY4" s="183" t="str">
        <f>IF($J$1="ENG","Memo: capital need* in equivalent as of 1 Jan 2019","Довідково: сума потреби* в капіталі в еквіваленті на 01.01.2019 р.")</f>
        <v>Довідково: сума потреби* в капіталі в еквіваленті на 01.01.2019 р.</v>
      </c>
      <c r="AZ4" s="183"/>
      <c r="BA4" s="183"/>
      <c r="BB4" s="183"/>
      <c r="BC4" s="183"/>
      <c r="BD4" s="162" t="str">
        <f>IF($J$1="ENG","Memo: capital adequacy ratios as of 1 Dec 2019","Довідково: нормативи достатності капіталу на 01.12.2019 р.")</f>
        <v>Довідково: нормативи достатності капіталу на 01.12.2019 р.</v>
      </c>
      <c r="BE4" s="164"/>
    </row>
    <row r="5" spans="1:57" ht="36" customHeight="1" x14ac:dyDescent="0.25">
      <c r="A5" s="170"/>
      <c r="B5" s="170"/>
      <c r="C5" s="170"/>
      <c r="D5" s="170"/>
      <c r="E5" s="177"/>
      <c r="F5" s="178"/>
      <c r="G5" s="178"/>
      <c r="H5" s="178"/>
      <c r="I5" s="179"/>
      <c r="J5" s="177"/>
      <c r="K5" s="178"/>
      <c r="L5" s="178"/>
      <c r="M5" s="178"/>
      <c r="N5" s="178"/>
      <c r="O5" s="179"/>
      <c r="P5" s="177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7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78"/>
      <c r="AS5" s="178"/>
      <c r="AT5" s="165"/>
      <c r="AU5" s="166"/>
      <c r="AV5" s="166"/>
      <c r="AW5" s="166"/>
      <c r="AX5" s="167"/>
      <c r="AY5" s="183"/>
      <c r="AZ5" s="183"/>
      <c r="BA5" s="183"/>
      <c r="BB5" s="183"/>
      <c r="BC5" s="183"/>
      <c r="BD5" s="181"/>
      <c r="BE5" s="182"/>
    </row>
    <row r="6" spans="1:57" ht="41" customHeight="1" x14ac:dyDescent="0.25">
      <c r="A6" s="170"/>
      <c r="B6" s="170"/>
      <c r="C6" s="170"/>
      <c r="D6" s="170"/>
      <c r="E6" s="125" t="str">
        <f>IF($J$1="ENG","Core capital, UAH mln","ОК, млн грн")</f>
        <v>ОК, млн грн</v>
      </c>
      <c r="F6" s="125" t="str">
        <f>IF($J$1="ENG","Regulatory capital, UAH mln","РК, млн грн")</f>
        <v>РК, млн грн</v>
      </c>
      <c r="G6" s="125" t="str">
        <f>IF($J$1="ENG","CAR","Н2")</f>
        <v>Н2</v>
      </c>
      <c r="H6" s="125" t="str">
        <f>IF($J$1="ENG","Core capital ratio","Н3")</f>
        <v>Н3</v>
      </c>
      <c r="I6" s="41" t="str">
        <f>IF($J$1="ENG","Estimated denominator of the requirement, UAH mln","Розрахунковий знаменник нормативу, млн грн")</f>
        <v>Розрахунковий знаменник нормативу, млн грн</v>
      </c>
      <c r="J6" s="125" t="str">
        <f>IF($J$1="ENG","extrapolation","екстраполяція")</f>
        <v>екстраполяція</v>
      </c>
      <c r="K6" s="125" t="str">
        <f>E6</f>
        <v>ОК, млн грн</v>
      </c>
      <c r="L6" s="125" t="str">
        <f>F6</f>
        <v>РК, млн грн</v>
      </c>
      <c r="M6" s="125" t="str">
        <f>G6</f>
        <v>Н2</v>
      </c>
      <c r="N6" s="125" t="str">
        <f>H6</f>
        <v>Н3</v>
      </c>
      <c r="O6" s="41" t="str">
        <f>IF($J$1="ENG","Estimated denominator of the requirement, UAH mln","Розрахунковий знаменник нормативу, млн грн")</f>
        <v>Розрахунковий знаменник нормативу, млн грн</v>
      </c>
      <c r="P6" s="171" t="str">
        <f>E6</f>
        <v>ОК, млн грн</v>
      </c>
      <c r="Q6" s="172"/>
      <c r="R6" s="173"/>
      <c r="S6" s="171" t="str">
        <f>F6</f>
        <v>РК, млн грн</v>
      </c>
      <c r="T6" s="172"/>
      <c r="U6" s="173"/>
      <c r="V6" s="171" t="str">
        <f>M6</f>
        <v>Н2</v>
      </c>
      <c r="W6" s="172"/>
      <c r="X6" s="173"/>
      <c r="Y6" s="171" t="str">
        <f>H6</f>
        <v>Н3</v>
      </c>
      <c r="Z6" s="172"/>
      <c r="AA6" s="173"/>
      <c r="AB6" s="168" t="str">
        <f>IF($J$1="ENG","Estimated denominator of the requirement, UAH mln","Розрахунковий знаменник нормативу, млн грн")</f>
        <v>Розрахунковий знаменник нормативу, млн грн</v>
      </c>
      <c r="AC6" s="180"/>
      <c r="AD6" s="169"/>
      <c r="AE6" s="171" t="str">
        <f>P6</f>
        <v>ОК, млн грн</v>
      </c>
      <c r="AF6" s="172"/>
      <c r="AG6" s="173"/>
      <c r="AH6" s="171" t="str">
        <f>S6</f>
        <v>РК, млн грн</v>
      </c>
      <c r="AI6" s="172"/>
      <c r="AJ6" s="173"/>
      <c r="AK6" s="171" t="str">
        <f>V6</f>
        <v>Н2</v>
      </c>
      <c r="AL6" s="172"/>
      <c r="AM6" s="173"/>
      <c r="AN6" s="171" t="str">
        <f>Y6</f>
        <v>Н3</v>
      </c>
      <c r="AO6" s="172"/>
      <c r="AP6" s="173"/>
      <c r="AQ6" s="168" t="str">
        <f>IF($J$1="ENG","Estimated denominator of the requirement, UAH mln","Розрахунковий знаменник нормативу, млн грн")</f>
        <v>Розрахунковий знаменник нормативу, млн грн</v>
      </c>
      <c r="AR6" s="180"/>
      <c r="AS6" s="169"/>
      <c r="AT6" s="171" t="str">
        <f>IF($J$1="ENG","resilience assessment results, %","за результатами оцінки стійкості, %")</f>
        <v>за результатами оцінки стійкості, %</v>
      </c>
      <c r="AU6" s="173"/>
      <c r="AV6" s="171" t="str">
        <f>IF($J$1="ENG","after measures taken by banks, %","з урахуванням здійснених банком заходів, %")</f>
        <v>з урахуванням здійснених банком заходів, %</v>
      </c>
      <c r="AW6" s="172"/>
      <c r="AX6" s="173"/>
      <c r="AY6" s="161" t="str">
        <f>IF($J$1="ENG","resilience assessment results, UAH mln","за результатами оцінки стійкості, млн грн")</f>
        <v>за результатами оцінки стійкості, млн грн</v>
      </c>
      <c r="AZ6" s="161"/>
      <c r="BA6" s="161" t="str">
        <f>IF($J$1="ENG","after measures taken by banks, UAH mln","з урахуванням здійснених банком заходів, млн грн")</f>
        <v>з урахуванням здійснених банком заходів, млн грн</v>
      </c>
      <c r="BB6" s="161"/>
      <c r="BC6" s="161"/>
      <c r="BD6" s="165"/>
      <c r="BE6" s="167"/>
    </row>
    <row r="7" spans="1:57" ht="18" customHeight="1" x14ac:dyDescent="0.25">
      <c r="A7" s="170"/>
      <c r="B7" s="170"/>
      <c r="C7" s="170"/>
      <c r="D7" s="170"/>
      <c r="E7" s="174" t="str">
        <f>IF($J$1="ENG","reporting date 1 Jan 2019","звітний рік (на 01.01.2019)")</f>
        <v>звітний рік (на 01.01.2019)</v>
      </c>
      <c r="F7" s="175"/>
      <c r="G7" s="175"/>
      <c r="H7" s="175"/>
      <c r="I7" s="176"/>
      <c r="J7" s="174" t="str">
        <f>IF($J$1="ENG","reporting date 1 Jan 2019","звітний рік (на 01.01.2019)")</f>
        <v>звітний рік (на 01.01.2019)</v>
      </c>
      <c r="K7" s="175"/>
      <c r="L7" s="175"/>
      <c r="M7" s="175"/>
      <c r="N7" s="175"/>
      <c r="O7" s="176"/>
      <c r="P7" s="125" t="str">
        <f>IF($J$1="ENG","1st","1-й")</f>
        <v>1-й</v>
      </c>
      <c r="Q7" s="125" t="str">
        <f>IF($J$1="ENG","2nd","2-й")</f>
        <v>2-й</v>
      </c>
      <c r="R7" s="125" t="str">
        <f>IF($J$1="ENG","3rd","3-й")</f>
        <v>3-й</v>
      </c>
      <c r="S7" s="125" t="str">
        <f>IF($J$1="ENG","1st","1-й")</f>
        <v>1-й</v>
      </c>
      <c r="T7" s="125" t="str">
        <f>IF($J$1="ENG","2nd","2-й")</f>
        <v>2-й</v>
      </c>
      <c r="U7" s="125" t="str">
        <f>IF($J$1="ENG","3rd","3-й")</f>
        <v>3-й</v>
      </c>
      <c r="V7" s="125" t="str">
        <f>IF($J$1="ENG","1st","1-й")</f>
        <v>1-й</v>
      </c>
      <c r="W7" s="125" t="str">
        <f>IF($J$1="ENG","2nd","2-й")</f>
        <v>2-й</v>
      </c>
      <c r="X7" s="125" t="str">
        <f>IF($J$1="ENG","3rd","3-й")</f>
        <v>3-й</v>
      </c>
      <c r="Y7" s="125" t="str">
        <f>IF($J$1="ENG","1st","1-й")</f>
        <v>1-й</v>
      </c>
      <c r="Z7" s="125" t="str">
        <f>IF($J$1="ENG","2nd","2-й")</f>
        <v>2-й</v>
      </c>
      <c r="AA7" s="125" t="str">
        <f>IF($J$1="ENG","3rd","3-й")</f>
        <v>3-й</v>
      </c>
      <c r="AB7" s="125" t="str">
        <f>IF($J$1="ENG","1st","1-й")</f>
        <v>1-й</v>
      </c>
      <c r="AC7" s="125" t="str">
        <f>IF($J$1="ENG","2nd","2-й")</f>
        <v>2-й</v>
      </c>
      <c r="AD7" s="125" t="str">
        <f>IF($J$1="ENG","3rd","3-й")</f>
        <v>3-й</v>
      </c>
      <c r="AE7" s="125" t="str">
        <f>IF($J$1="ENG","1st","1-й")</f>
        <v>1-й</v>
      </c>
      <c r="AF7" s="125" t="str">
        <f>IF($J$1="ENG","2nd","2-й")</f>
        <v>2-й</v>
      </c>
      <c r="AG7" s="125" t="str">
        <f>IF($J$1="ENG","3rd","3-й")</f>
        <v>3-й</v>
      </c>
      <c r="AH7" s="125" t="str">
        <f>IF($J$1="ENG","1st","1-й")</f>
        <v>1-й</v>
      </c>
      <c r="AI7" s="125" t="str">
        <f>IF($J$1="ENG","2nd","2-й")</f>
        <v>2-й</v>
      </c>
      <c r="AJ7" s="125" t="str">
        <f>IF($J$1="ENG","3rd","3-й")</f>
        <v>3-й</v>
      </c>
      <c r="AK7" s="125" t="str">
        <f>IF($J$1="ENG","1st","1-й")</f>
        <v>1-й</v>
      </c>
      <c r="AL7" s="125" t="str">
        <f>IF($J$1="ENG","2nd","2-й")</f>
        <v>2-й</v>
      </c>
      <c r="AM7" s="125" t="str">
        <f>IF($J$1="ENG","3rd","3-й")</f>
        <v>3-й</v>
      </c>
      <c r="AN7" s="125" t="str">
        <f>IF($J$1="ENG","1st","1-й")</f>
        <v>1-й</v>
      </c>
      <c r="AO7" s="125" t="str">
        <f>IF($J$1="ENG","2nd","2-й")</f>
        <v>2-й</v>
      </c>
      <c r="AP7" s="125" t="str">
        <f>IF($J$1="ENG","3rd","3-й")</f>
        <v>3-й</v>
      </c>
      <c r="AQ7" s="125" t="str">
        <f>IF($J$1="ENG","1st","1-й")</f>
        <v>1-й</v>
      </c>
      <c r="AR7" s="125" t="str">
        <f>IF($J$1="ENG","2nd","2-й")</f>
        <v>2-й</v>
      </c>
      <c r="AS7" s="125" t="str">
        <f>IF($J$1="ENG","3rd","3-й")</f>
        <v>3-й</v>
      </c>
      <c r="AT7" s="159" t="str">
        <f>IF($J$1="ENG","CAR","Н2")</f>
        <v>Н2</v>
      </c>
      <c r="AU7" s="159" t="str">
        <f>IF($J$1="ENG","Core capital ratio","Н3")</f>
        <v>Н3</v>
      </c>
      <c r="AV7" s="159" t="str">
        <f>IF($J$1="ENG","Date","Дата")</f>
        <v>Дата</v>
      </c>
      <c r="AW7" s="159" t="str">
        <f>IF($J$1="ENG","CAR","Н2")</f>
        <v>Н2</v>
      </c>
      <c r="AX7" s="159" t="str">
        <f>IF($J$1="ENG","Core capital ratio","Н3")</f>
        <v>Н3</v>
      </c>
      <c r="AY7" s="184" t="str">
        <f>IF($J$1="ENG","baseline scenario","за базовим макроекономічним сценарієм")</f>
        <v>за базовим макроекономічним сценарієм</v>
      </c>
      <c r="AZ7" s="184" t="str">
        <f>IF($J$1="ENG","adverse scenario","за несприятливим макроекономічним сценарієм")</f>
        <v>за несприятливим макроекономічним сценарієм</v>
      </c>
      <c r="BA7" s="159" t="str">
        <f>IF($J$1="ENG","Date","Дата")</f>
        <v>Дата</v>
      </c>
      <c r="BB7" s="184" t="str">
        <f>IF($J$1="ENG","baseline scenario","за базовим макроекономічним сценарієм")</f>
        <v>за базовим макроекономічним сценарієм</v>
      </c>
      <c r="BC7" s="184" t="str">
        <f>IF($J$1="ENG","adverse scenario","за несприятливим макроекономічним сценарієм")</f>
        <v>за несприятливим макроекономічним сценарієм</v>
      </c>
      <c r="BD7" s="159" t="str">
        <f>IF($J$1="ENG","CAR","Н2")</f>
        <v>Н2</v>
      </c>
      <c r="BE7" s="159" t="str">
        <f>IF($J$1="ENG","Core capital ratio","Н3")</f>
        <v>Н3</v>
      </c>
    </row>
    <row r="8" spans="1:57" ht="18.649999999999999" customHeight="1" x14ac:dyDescent="0.25">
      <c r="A8" s="170"/>
      <c r="B8" s="170"/>
      <c r="C8" s="170"/>
      <c r="D8" s="170"/>
      <c r="E8" s="177"/>
      <c r="F8" s="178"/>
      <c r="G8" s="178"/>
      <c r="H8" s="178"/>
      <c r="I8" s="179"/>
      <c r="J8" s="177"/>
      <c r="K8" s="178"/>
      <c r="L8" s="178"/>
      <c r="M8" s="178"/>
      <c r="N8" s="178"/>
      <c r="O8" s="179"/>
      <c r="P8" s="161" t="str">
        <f>IF($J$1="ENG","forecast year","прогнозний рік")</f>
        <v>прогнозний рік</v>
      </c>
      <c r="Q8" s="161"/>
      <c r="R8" s="161"/>
      <c r="S8" s="161" t="str">
        <f>IF($J$1="ENG","forecast year","прогнозний рік")</f>
        <v>прогнозний рік</v>
      </c>
      <c r="T8" s="161"/>
      <c r="U8" s="161"/>
      <c r="V8" s="161" t="str">
        <f>IF($J$1="ENG","forecast year","прогнозний рік")</f>
        <v>прогнозний рік</v>
      </c>
      <c r="W8" s="161"/>
      <c r="X8" s="161"/>
      <c r="Y8" s="161" t="str">
        <f>IF($J$1="ENG","forecast year","прогнозний рік")</f>
        <v>прогнозний рік</v>
      </c>
      <c r="Z8" s="161"/>
      <c r="AA8" s="161"/>
      <c r="AB8" s="161" t="str">
        <f>IF($J$1="ENG","forecast year","прогнозний рік")</f>
        <v>прогнозний рік</v>
      </c>
      <c r="AC8" s="161"/>
      <c r="AD8" s="161"/>
      <c r="AE8" s="161" t="str">
        <f>IF($J$1="ENG","forecast year","прогнозний рік")</f>
        <v>прогнозний рік</v>
      </c>
      <c r="AF8" s="161"/>
      <c r="AG8" s="161"/>
      <c r="AH8" s="161" t="str">
        <f>IF($J$1="ENG","forecast year","прогнозний рік")</f>
        <v>прогнозний рік</v>
      </c>
      <c r="AI8" s="161"/>
      <c r="AJ8" s="161"/>
      <c r="AK8" s="161" t="str">
        <f>IF($J$1="ENG","forecast year","прогнозний рік")</f>
        <v>прогнозний рік</v>
      </c>
      <c r="AL8" s="161"/>
      <c r="AM8" s="161"/>
      <c r="AN8" s="161" t="str">
        <f>IF($J$1="ENG","forecast year","прогнозний рік")</f>
        <v>прогнозний рік</v>
      </c>
      <c r="AO8" s="161"/>
      <c r="AP8" s="161"/>
      <c r="AQ8" s="161" t="str">
        <f>IF($J$1="ENG","forecast year","прогнозний рік")</f>
        <v>прогнозний рік</v>
      </c>
      <c r="AR8" s="161"/>
      <c r="AS8" s="161"/>
      <c r="AT8" s="160"/>
      <c r="AU8" s="160"/>
      <c r="AV8" s="160"/>
      <c r="AW8" s="160"/>
      <c r="AX8" s="160"/>
      <c r="AY8" s="184"/>
      <c r="AZ8" s="184"/>
      <c r="BA8" s="160"/>
      <c r="BB8" s="184"/>
      <c r="BC8" s="184"/>
      <c r="BD8" s="160"/>
      <c r="BE8" s="160"/>
    </row>
    <row r="9" spans="1:57" x14ac:dyDescent="0.25">
      <c r="A9" s="126">
        <v>1</v>
      </c>
      <c r="B9" s="126">
        <v>2</v>
      </c>
      <c r="C9" s="126">
        <v>3</v>
      </c>
      <c r="D9" s="126">
        <v>4</v>
      </c>
      <c r="E9" s="126">
        <v>5</v>
      </c>
      <c r="F9" s="126">
        <v>6</v>
      </c>
      <c r="G9" s="126">
        <v>7</v>
      </c>
      <c r="H9" s="126">
        <v>8</v>
      </c>
      <c r="I9" s="126"/>
      <c r="J9" s="126">
        <v>9</v>
      </c>
      <c r="K9" s="126">
        <v>10</v>
      </c>
      <c r="L9" s="126">
        <v>11</v>
      </c>
      <c r="M9" s="126">
        <v>12</v>
      </c>
      <c r="N9" s="126">
        <v>13</v>
      </c>
      <c r="O9" s="126"/>
      <c r="P9" s="126">
        <v>13</v>
      </c>
      <c r="Q9" s="126">
        <v>14</v>
      </c>
      <c r="R9" s="126">
        <v>15</v>
      </c>
      <c r="S9" s="126">
        <v>16</v>
      </c>
      <c r="T9" s="126">
        <v>17</v>
      </c>
      <c r="U9" s="126">
        <v>18</v>
      </c>
      <c r="V9" s="126">
        <v>19</v>
      </c>
      <c r="W9" s="126">
        <v>20</v>
      </c>
      <c r="X9" s="126">
        <v>21</v>
      </c>
      <c r="Y9" s="126">
        <v>22</v>
      </c>
      <c r="Z9" s="126">
        <v>23</v>
      </c>
      <c r="AA9" s="126">
        <v>24</v>
      </c>
      <c r="AB9" s="126"/>
      <c r="AC9" s="126"/>
      <c r="AD9" s="126"/>
      <c r="AE9" s="126">
        <v>25</v>
      </c>
      <c r="AF9" s="126">
        <v>26</v>
      </c>
      <c r="AG9" s="126">
        <v>27</v>
      </c>
      <c r="AH9" s="126">
        <v>28</v>
      </c>
      <c r="AI9" s="126">
        <v>29</v>
      </c>
      <c r="AJ9" s="126">
        <v>30</v>
      </c>
      <c r="AK9" s="126">
        <v>31</v>
      </c>
      <c r="AL9" s="126">
        <v>32</v>
      </c>
      <c r="AM9" s="126">
        <v>33</v>
      </c>
      <c r="AN9" s="126">
        <v>34</v>
      </c>
      <c r="AO9" s="126">
        <v>35</v>
      </c>
      <c r="AP9" s="126">
        <v>36</v>
      </c>
      <c r="AQ9" s="126"/>
      <c r="AR9" s="126"/>
      <c r="AS9" s="126"/>
      <c r="AT9" s="126">
        <v>37</v>
      </c>
      <c r="AU9" s="126">
        <v>38</v>
      </c>
      <c r="AV9" s="126">
        <v>39</v>
      </c>
      <c r="AW9" s="126">
        <v>40</v>
      </c>
      <c r="AX9" s="126">
        <v>41</v>
      </c>
      <c r="AY9" s="126">
        <v>42</v>
      </c>
      <c r="AZ9" s="126">
        <v>43</v>
      </c>
      <c r="BA9" s="126">
        <v>44</v>
      </c>
      <c r="BB9" s="126">
        <v>45</v>
      </c>
      <c r="BC9" s="126">
        <v>46</v>
      </c>
      <c r="BD9" s="126">
        <v>47</v>
      </c>
      <c r="BE9" s="126">
        <v>48</v>
      </c>
    </row>
    <row r="10" spans="1:57" x14ac:dyDescent="0.25">
      <c r="A10" s="3">
        <v>1</v>
      </c>
      <c r="B10" s="3">
        <v>96</v>
      </c>
      <c r="C10" s="37" t="str">
        <f>IF($J$1="ENG","A-Bank","А - Банк")</f>
        <v>А - Банк</v>
      </c>
      <c r="D10" s="86" t="str">
        <f>IF($J$1="ENG","Private banks","Банки з приватним капіталом")</f>
        <v>Банки з приватним капіталом</v>
      </c>
      <c r="E10" s="4">
        <v>280.12900000000002</v>
      </c>
      <c r="F10" s="4">
        <v>560.25699999999995</v>
      </c>
      <c r="G10" s="123">
        <v>0.1427431334724325</v>
      </c>
      <c r="H10" s="123">
        <v>7.1371566736216252E-2</v>
      </c>
      <c r="I10" s="4">
        <f t="shared" ref="I10:I38" si="0">E10/H10</f>
        <v>3924.9383586510712</v>
      </c>
      <c r="J10" s="126" t="str">
        <f t="shared" ref="J10:J38" si="1">IF($J$1="ENG","no","ні")</f>
        <v>ні</v>
      </c>
      <c r="K10" s="4">
        <v>280.12900000000002</v>
      </c>
      <c r="L10" s="4">
        <v>560.25699999999995</v>
      </c>
      <c r="M10" s="123">
        <v>0.1427431334724325</v>
      </c>
      <c r="N10" s="123">
        <v>7.1371566736216252E-2</v>
      </c>
      <c r="O10" s="4">
        <f t="shared" ref="O10:O38" si="2">K10/N10</f>
        <v>3924.9383586510712</v>
      </c>
      <c r="P10" s="4">
        <v>781.71600000000001</v>
      </c>
      <c r="Q10" s="4">
        <v>1090.731</v>
      </c>
      <c r="R10" s="4">
        <v>1337.048</v>
      </c>
      <c r="S10" s="4">
        <v>783.42600000000004</v>
      </c>
      <c r="T10" s="4">
        <v>1092.441</v>
      </c>
      <c r="U10" s="4">
        <v>1338.758</v>
      </c>
      <c r="V10" s="123">
        <v>0.1980602591450345</v>
      </c>
      <c r="W10" s="123">
        <v>0.27571871265129244</v>
      </c>
      <c r="X10" s="123">
        <v>0.33834863794522357</v>
      </c>
      <c r="Y10" s="123">
        <v>0.1976279539339417</v>
      </c>
      <c r="Z10" s="123">
        <v>0.27528713468302457</v>
      </c>
      <c r="AA10" s="123">
        <v>0.33791646950504406</v>
      </c>
      <c r="AB10" s="4">
        <f t="shared" ref="AB10:AD38" si="3">P10/Y10</f>
        <v>3955.4930587466042</v>
      </c>
      <c r="AC10" s="4">
        <f t="shared" si="3"/>
        <v>3962.157553261276</v>
      </c>
      <c r="AD10" s="4">
        <f t="shared" si="3"/>
        <v>3956.7411495462547</v>
      </c>
      <c r="AE10" s="4">
        <v>159.06399999999999</v>
      </c>
      <c r="AF10" s="4">
        <v>59.561999999999998</v>
      </c>
      <c r="AG10" s="4">
        <v>140.327</v>
      </c>
      <c r="AH10" s="4">
        <v>160.774</v>
      </c>
      <c r="AI10" s="4">
        <v>61.271999999999998</v>
      </c>
      <c r="AJ10" s="4">
        <v>142.03700000000001</v>
      </c>
      <c r="AK10" s="123">
        <v>4.4363594904669533E-2</v>
      </c>
      <c r="AL10" s="123">
        <v>1.7563387901362436E-2</v>
      </c>
      <c r="AM10" s="123">
        <v>4.0676588104301734E-2</v>
      </c>
      <c r="AN10" s="123">
        <v>4.3891747868960745E-2</v>
      </c>
      <c r="AO10" s="123">
        <v>1.7073231682355011E-2</v>
      </c>
      <c r="AP10" s="123">
        <v>4.0186884689527198E-2</v>
      </c>
      <c r="AQ10" s="4">
        <f t="shared" ref="AQ10:AS38" si="4">AE10/AN10</f>
        <v>3624.0069653841801</v>
      </c>
      <c r="AR10" s="4">
        <f t="shared" si="4"/>
        <v>3488.6189743185319</v>
      </c>
      <c r="AS10" s="4">
        <f t="shared" si="4"/>
        <v>3491.8606178141886</v>
      </c>
      <c r="AT10" s="66">
        <v>0.129</v>
      </c>
      <c r="AU10" s="66">
        <v>0.11600000000000001</v>
      </c>
      <c r="AV10" s="97">
        <v>43709</v>
      </c>
      <c r="AW10" s="66">
        <v>0.112</v>
      </c>
      <c r="AX10" s="66">
        <v>7.0000000000000007E-2</v>
      </c>
      <c r="AY10" s="4">
        <v>0</v>
      </c>
      <c r="AZ10" s="4">
        <v>113.16</v>
      </c>
      <c r="BA10" s="95">
        <f t="shared" ref="BA10:BA38" si="5">AV10</f>
        <v>43709</v>
      </c>
      <c r="BB10" s="4">
        <v>0</v>
      </c>
      <c r="BC10" s="4">
        <v>48</v>
      </c>
      <c r="BD10" s="66">
        <v>0.152</v>
      </c>
      <c r="BE10" s="66">
        <v>0.10100000000000001</v>
      </c>
    </row>
    <row r="11" spans="1:57" x14ac:dyDescent="0.25">
      <c r="A11" s="3">
        <v>2</v>
      </c>
      <c r="B11" s="3">
        <v>272</v>
      </c>
      <c r="C11" s="37" t="str">
        <f>IF($J$1="ENG","Alfa-Bank","Альфа-Банк")</f>
        <v>Альфа-Банк</v>
      </c>
      <c r="D11" s="86" t="str">
        <f>IF($J$1="ENG","Foreign banks","Банки іноземних банківських груп")</f>
        <v>Банки іноземних банківських груп</v>
      </c>
      <c r="E11" s="4">
        <v>3362.172</v>
      </c>
      <c r="F11" s="4">
        <v>5863.9089999999997</v>
      </c>
      <c r="G11" s="123">
        <v>0.13949784305585058</v>
      </c>
      <c r="H11" s="123">
        <v>7.9983460773376577E-2</v>
      </c>
      <c r="I11" s="4">
        <f t="shared" si="0"/>
        <v>42035.840503654952</v>
      </c>
      <c r="J11" s="126" t="str">
        <f t="shared" si="1"/>
        <v>ні</v>
      </c>
      <c r="K11" s="4">
        <v>3362.172</v>
      </c>
      <c r="L11" s="4">
        <v>5863.9089999999997</v>
      </c>
      <c r="M11" s="123">
        <v>0.13949784305585058</v>
      </c>
      <c r="N11" s="123">
        <v>7.9983460773376577E-2</v>
      </c>
      <c r="O11" s="4">
        <f t="shared" si="2"/>
        <v>42035.840503654952</v>
      </c>
      <c r="P11" s="4">
        <v>5460.2</v>
      </c>
      <c r="Q11" s="4">
        <v>8245.3109999999997</v>
      </c>
      <c r="R11" s="4">
        <v>11012.887000000001</v>
      </c>
      <c r="S11" s="4">
        <v>6956.2579999999998</v>
      </c>
      <c r="T11" s="4">
        <v>9482.8089999999993</v>
      </c>
      <c r="U11" s="4">
        <v>11950.09</v>
      </c>
      <c r="V11" s="123">
        <v>0.16665664001347757</v>
      </c>
      <c r="W11" s="123">
        <v>0.22449682835150889</v>
      </c>
      <c r="X11" s="123">
        <v>0.28432083256213198</v>
      </c>
      <c r="Y11" s="123">
        <v>0.13081438628330117</v>
      </c>
      <c r="Z11" s="123">
        <v>0.19520018851154744</v>
      </c>
      <c r="AA11" s="123">
        <v>0.2620225684819964</v>
      </c>
      <c r="AB11" s="4">
        <f t="shared" si="3"/>
        <v>41740.057459544187</v>
      </c>
      <c r="AC11" s="4">
        <f t="shared" si="3"/>
        <v>42240.281952966623</v>
      </c>
      <c r="AD11" s="4">
        <f t="shared" si="3"/>
        <v>42030.299389102802</v>
      </c>
      <c r="AE11" s="4">
        <v>1553.2639999999999</v>
      </c>
      <c r="AF11" s="4">
        <v>2443.4609999999998</v>
      </c>
      <c r="AG11" s="4">
        <v>4758.8159999999998</v>
      </c>
      <c r="AH11" s="4">
        <v>3106.1970000000001</v>
      </c>
      <c r="AI11" s="4">
        <v>4063.7089999999998</v>
      </c>
      <c r="AJ11" s="4">
        <v>6025.835</v>
      </c>
      <c r="AK11" s="123">
        <v>7.0219767666313937E-2</v>
      </c>
      <c r="AL11" s="123">
        <v>8.8877829784774681E-2</v>
      </c>
      <c r="AM11" s="123">
        <v>0.13005274769735597</v>
      </c>
      <c r="AN11" s="123">
        <v>3.5113613879972062E-2</v>
      </c>
      <c r="AO11" s="123">
        <v>5.3441205070369723E-2</v>
      </c>
      <c r="AP11" s="123">
        <v>0.10270727840912962</v>
      </c>
      <c r="AQ11" s="4">
        <f t="shared" si="4"/>
        <v>44235.378486232752</v>
      </c>
      <c r="AR11" s="4">
        <f t="shared" si="4"/>
        <v>45722.415817205583</v>
      </c>
      <c r="AS11" s="4">
        <f t="shared" si="4"/>
        <v>46333.775694488562</v>
      </c>
      <c r="AT11" s="66">
        <v>0.1</v>
      </c>
      <c r="AU11" s="66">
        <v>7.0000000000000007E-2</v>
      </c>
      <c r="AV11" s="97">
        <v>43709</v>
      </c>
      <c r="AW11" s="122">
        <v>0.1</v>
      </c>
      <c r="AX11" s="122">
        <v>7.0000000000000007E-2</v>
      </c>
      <c r="AY11" s="4">
        <v>0</v>
      </c>
      <c r="AZ11" s="4">
        <v>0</v>
      </c>
      <c r="BA11" s="95">
        <f t="shared" si="5"/>
        <v>43709</v>
      </c>
      <c r="BB11" s="4">
        <v>0</v>
      </c>
      <c r="BC11" s="88">
        <v>0</v>
      </c>
      <c r="BD11" s="66">
        <v>0.151</v>
      </c>
      <c r="BE11" s="66">
        <v>0.128</v>
      </c>
    </row>
    <row r="12" spans="1:57" x14ac:dyDescent="0.25">
      <c r="A12" s="3">
        <v>3</v>
      </c>
      <c r="B12" s="3">
        <v>320</v>
      </c>
      <c r="C12" s="37" t="str">
        <f>IF($J$1="ENG","Bank for Investments and Savings","Банк Інвестицій та Заощаджень")</f>
        <v>Банк Інвестицій та Заощаджень</v>
      </c>
      <c r="D12" s="86" t="str">
        <f>IF($J$1="ENG","Private banks","Банки з приватним капіталом")</f>
        <v>Банки з приватним капіталом</v>
      </c>
      <c r="E12" s="4">
        <v>370.38200000000001</v>
      </c>
      <c r="F12" s="4">
        <v>370.38200000000001</v>
      </c>
      <c r="G12" s="123">
        <v>0.11335209769537052</v>
      </c>
      <c r="H12" s="123">
        <v>0.11335209769537052</v>
      </c>
      <c r="I12" s="4">
        <f t="shared" si="0"/>
        <v>3267.5354716009547</v>
      </c>
      <c r="J12" s="126" t="str">
        <f t="shared" si="1"/>
        <v>ні</v>
      </c>
      <c r="K12" s="4">
        <v>309.28699999999998</v>
      </c>
      <c r="L12" s="4">
        <v>309.28699999999998</v>
      </c>
      <c r="M12" s="123">
        <v>9.6457926923139078E-2</v>
      </c>
      <c r="N12" s="123">
        <v>9.6457926923139078E-2</v>
      </c>
      <c r="O12" s="4">
        <f t="shared" si="2"/>
        <v>3206.4446113013632</v>
      </c>
      <c r="P12" s="4">
        <v>-295.00900000000001</v>
      </c>
      <c r="Q12" s="4">
        <v>-360.88400000000001</v>
      </c>
      <c r="R12" s="4">
        <v>-452.92700000000002</v>
      </c>
      <c r="S12" s="4">
        <v>-295.00900000000001</v>
      </c>
      <c r="T12" s="4">
        <v>-360.88400000000001</v>
      </c>
      <c r="U12" s="4">
        <v>-452.92700000000002</v>
      </c>
      <c r="V12" s="123">
        <v>-0.10851592833159918</v>
      </c>
      <c r="W12" s="123">
        <v>-0.13484852739398903</v>
      </c>
      <c r="X12" s="123">
        <v>-0.17669295013747233</v>
      </c>
      <c r="Y12" s="123">
        <v>-0.10851592833159918</v>
      </c>
      <c r="Z12" s="123">
        <v>-0.13484852739398903</v>
      </c>
      <c r="AA12" s="123">
        <v>-0.17669295013747233</v>
      </c>
      <c r="AB12" s="4">
        <f t="shared" si="3"/>
        <v>2718.5778579760367</v>
      </c>
      <c r="AC12" s="4">
        <f t="shared" si="3"/>
        <v>2676.217582603625</v>
      </c>
      <c r="AD12" s="4">
        <f t="shared" si="3"/>
        <v>2563.3563741372218</v>
      </c>
      <c r="AE12" s="4">
        <v>-710.26400000000001</v>
      </c>
      <c r="AF12" s="4">
        <v>-916.02700000000004</v>
      </c>
      <c r="AG12" s="4">
        <v>-1024.9159999999999</v>
      </c>
      <c r="AH12" s="4">
        <v>-710.26400000000001</v>
      </c>
      <c r="AI12" s="4">
        <v>-916.02700000000004</v>
      </c>
      <c r="AJ12" s="4">
        <v>-1024.9159999999999</v>
      </c>
      <c r="AK12" s="123">
        <v>-0.26379159760221726</v>
      </c>
      <c r="AL12" s="123">
        <v>-0.34621869229629282</v>
      </c>
      <c r="AM12" s="123">
        <v>-0.40257475217667732</v>
      </c>
      <c r="AN12" s="123">
        <v>-0.26379159760221726</v>
      </c>
      <c r="AO12" s="123">
        <v>-0.34621869229629282</v>
      </c>
      <c r="AP12" s="123">
        <v>-0.40257475217667732</v>
      </c>
      <c r="AQ12" s="4">
        <f t="shared" si="4"/>
        <v>2692.5194223624885</v>
      </c>
      <c r="AR12" s="4">
        <f t="shared" si="4"/>
        <v>2645.8045749189855</v>
      </c>
      <c r="AS12" s="4">
        <f t="shared" si="4"/>
        <v>2545.9023310786183</v>
      </c>
      <c r="AT12" s="66">
        <v>0.46899999999999997</v>
      </c>
      <c r="AU12" s="66">
        <v>0.44400000000000001</v>
      </c>
      <c r="AV12" s="97">
        <v>43739</v>
      </c>
      <c r="AW12" s="66">
        <v>0.312</v>
      </c>
      <c r="AX12" s="66">
        <v>0.28100000000000003</v>
      </c>
      <c r="AY12" s="4">
        <v>713.91899999999998</v>
      </c>
      <c r="AZ12" s="4">
        <v>1154.4110000000001</v>
      </c>
      <c r="BA12" s="95">
        <f t="shared" si="5"/>
        <v>43739</v>
      </c>
      <c r="BB12" s="52">
        <v>306.58800000000002</v>
      </c>
      <c r="BC12" s="52">
        <v>639.73699999999997</v>
      </c>
      <c r="BD12" s="66">
        <v>0.129</v>
      </c>
      <c r="BE12" s="66">
        <v>0.125</v>
      </c>
    </row>
    <row r="13" spans="1:57" x14ac:dyDescent="0.25">
      <c r="A13" s="3">
        <v>4</v>
      </c>
      <c r="B13" s="3">
        <v>305</v>
      </c>
      <c r="C13" s="37" t="str">
        <f>IF($J$1="ENG","Vostok","Восток")</f>
        <v>Восток</v>
      </c>
      <c r="D13" s="86" t="str">
        <f>IF($J$1="ENG","Private banks","Банки з приватним капіталом")</f>
        <v>Банки з приватним капіталом</v>
      </c>
      <c r="E13" s="4">
        <v>530.19200000000001</v>
      </c>
      <c r="F13" s="4">
        <v>803.76700000000005</v>
      </c>
      <c r="G13" s="123">
        <v>0.1159</v>
      </c>
      <c r="H13" s="123">
        <v>7.6485229975919611E-2</v>
      </c>
      <c r="I13" s="4">
        <f t="shared" si="0"/>
        <v>6931.9527465227484</v>
      </c>
      <c r="J13" s="126" t="str">
        <f t="shared" si="1"/>
        <v>ні</v>
      </c>
      <c r="K13" s="4">
        <v>530.19200000000001</v>
      </c>
      <c r="L13" s="4">
        <v>802.173</v>
      </c>
      <c r="M13" s="123">
        <v>0.11572094016648179</v>
      </c>
      <c r="N13" s="123">
        <v>7.6485229975919611E-2</v>
      </c>
      <c r="O13" s="4">
        <f t="shared" si="2"/>
        <v>6931.9527465227484</v>
      </c>
      <c r="P13" s="4">
        <v>570.74699999999996</v>
      </c>
      <c r="Q13" s="4">
        <v>565.47500000000002</v>
      </c>
      <c r="R13" s="4">
        <v>585.36800000000005</v>
      </c>
      <c r="S13" s="4">
        <v>690.45799999999997</v>
      </c>
      <c r="T13" s="4">
        <v>689.25800000000004</v>
      </c>
      <c r="U13" s="4">
        <v>710.37199999999996</v>
      </c>
      <c r="V13" s="123">
        <v>9.9369295927376686E-2</v>
      </c>
      <c r="W13" s="123">
        <v>9.9107622734065273E-2</v>
      </c>
      <c r="X13" s="123">
        <v>0.10262369213833133</v>
      </c>
      <c r="Y13" s="123">
        <v>8.2140725395198066E-2</v>
      </c>
      <c r="Z13" s="123">
        <v>8.1309032788564481E-2</v>
      </c>
      <c r="AA13" s="123">
        <v>8.4564976963320077E-2</v>
      </c>
      <c r="AB13" s="4">
        <f t="shared" si="3"/>
        <v>6948.4046708134592</v>
      </c>
      <c r="AC13" s="4">
        <f t="shared" si="3"/>
        <v>6954.6393630146576</v>
      </c>
      <c r="AD13" s="4">
        <f t="shared" si="3"/>
        <v>6922.1091404530562</v>
      </c>
      <c r="AE13" s="4">
        <v>-38.46</v>
      </c>
      <c r="AF13" s="4">
        <v>-352.30200000000002</v>
      </c>
      <c r="AG13" s="4">
        <v>-483.92099999999999</v>
      </c>
      <c r="AH13" s="4">
        <v>-38.46</v>
      </c>
      <c r="AI13" s="4">
        <v>-352.30200000000002</v>
      </c>
      <c r="AJ13" s="4">
        <v>-483.92099999999999</v>
      </c>
      <c r="AK13" s="123">
        <v>-5.1697873802773759E-3</v>
      </c>
      <c r="AL13" s="123">
        <v>-4.5843231210577061E-2</v>
      </c>
      <c r="AM13" s="123">
        <v>-6.2470844854968247E-2</v>
      </c>
      <c r="AN13" s="123">
        <v>-5.1697873802773759E-3</v>
      </c>
      <c r="AO13" s="123">
        <v>-4.5843231210577061E-2</v>
      </c>
      <c r="AP13" s="123">
        <v>-6.2470844854968247E-2</v>
      </c>
      <c r="AQ13" s="4">
        <f t="shared" si="4"/>
        <v>7439.3775161284284</v>
      </c>
      <c r="AR13" s="4">
        <f t="shared" si="4"/>
        <v>7684.9295020617146</v>
      </c>
      <c r="AS13" s="4">
        <f t="shared" si="4"/>
        <v>7746.3495351066031</v>
      </c>
      <c r="AT13" s="66">
        <v>0.20899999999999999</v>
      </c>
      <c r="AU13" s="66">
        <v>0.20799999999999999</v>
      </c>
      <c r="AV13" s="97">
        <v>43709</v>
      </c>
      <c r="AW13" s="66">
        <v>0.14199999999999999</v>
      </c>
      <c r="AX13" s="66">
        <v>0.14199999999999999</v>
      </c>
      <c r="AY13" s="4">
        <v>6.2060000000000004</v>
      </c>
      <c r="AZ13" s="4">
        <v>755.04399999999998</v>
      </c>
      <c r="BA13" s="95">
        <f t="shared" si="5"/>
        <v>43709</v>
      </c>
      <c r="BB13" s="4">
        <v>0</v>
      </c>
      <c r="BC13" s="4">
        <v>299.67599999999999</v>
      </c>
      <c r="BD13" s="66">
        <v>0.123</v>
      </c>
      <c r="BE13" s="66">
        <v>8.5000000000000006E-2</v>
      </c>
    </row>
    <row r="14" spans="1:57" x14ac:dyDescent="0.25">
      <c r="A14" s="3">
        <v>5</v>
      </c>
      <c r="B14" s="3">
        <v>386</v>
      </c>
      <c r="C14" s="37" t="str">
        <f>IF($J$1="ENG","Globus","Глобус")</f>
        <v>Глобус</v>
      </c>
      <c r="D14" s="86" t="str">
        <f>IF($J$1="ENG","Private banks","Банки з приватним капіталом")</f>
        <v>Банки з приватним капіталом</v>
      </c>
      <c r="E14" s="4">
        <v>179.06100000000001</v>
      </c>
      <c r="F14" s="4">
        <v>285.577</v>
      </c>
      <c r="G14" s="123">
        <v>0.12900903886045093</v>
      </c>
      <c r="H14" s="123">
        <v>8.0890496255397445E-2</v>
      </c>
      <c r="I14" s="4">
        <f t="shared" si="0"/>
        <v>2213.6222212637508</v>
      </c>
      <c r="J14" s="126" t="str">
        <f t="shared" si="1"/>
        <v>ні</v>
      </c>
      <c r="K14" s="4">
        <v>165.18700000000001</v>
      </c>
      <c r="L14" s="4">
        <v>271.70299999999997</v>
      </c>
      <c r="M14" s="123">
        <v>0.12351552011322585</v>
      </c>
      <c r="N14" s="123">
        <v>7.5093496868266316E-2</v>
      </c>
      <c r="O14" s="4">
        <f t="shared" si="2"/>
        <v>2199.7510688546217</v>
      </c>
      <c r="P14" s="4">
        <v>151.154</v>
      </c>
      <c r="Q14" s="4">
        <v>170.09399999999999</v>
      </c>
      <c r="R14" s="4">
        <v>195.35300000000001</v>
      </c>
      <c r="S14" s="4">
        <v>261.43299999999999</v>
      </c>
      <c r="T14" s="4">
        <v>282.08300000000003</v>
      </c>
      <c r="U14" s="4">
        <v>307.85399999999998</v>
      </c>
      <c r="V14" s="123">
        <v>0.12005548303962756</v>
      </c>
      <c r="W14" s="123">
        <v>0.13016409780849228</v>
      </c>
      <c r="X14" s="123">
        <v>0.14334132616798245</v>
      </c>
      <c r="Y14" s="123">
        <v>6.9413202500486645E-2</v>
      </c>
      <c r="Z14" s="123">
        <v>7.8488078886807741E-2</v>
      </c>
      <c r="AA14" s="123">
        <v>9.0958885938038733E-2</v>
      </c>
      <c r="AB14" s="4">
        <f t="shared" si="3"/>
        <v>2177.597266153226</v>
      </c>
      <c r="AC14" s="4">
        <f t="shared" si="3"/>
        <v>2167.1316512320618</v>
      </c>
      <c r="AD14" s="4">
        <f t="shared" si="3"/>
        <v>2147.7066037624363</v>
      </c>
      <c r="AE14" s="4">
        <v>-63.945</v>
      </c>
      <c r="AF14" s="4">
        <v>-220.72800000000001</v>
      </c>
      <c r="AG14" s="4">
        <v>-299.82400000000001</v>
      </c>
      <c r="AH14" s="4">
        <v>-63.945</v>
      </c>
      <c r="AI14" s="4">
        <v>-220.72800000000001</v>
      </c>
      <c r="AJ14" s="4">
        <v>-299.82400000000001</v>
      </c>
      <c r="AK14" s="123">
        <v>-2.9399209077416399E-2</v>
      </c>
      <c r="AL14" s="123">
        <v>-0.10185573319522107</v>
      </c>
      <c r="AM14" s="123">
        <v>-0.13902020157100786</v>
      </c>
      <c r="AN14" s="123">
        <v>-2.9399209077416399E-2</v>
      </c>
      <c r="AO14" s="123">
        <v>-0.10185573319522107</v>
      </c>
      <c r="AP14" s="123">
        <v>-0.13902020157100786</v>
      </c>
      <c r="AQ14" s="4">
        <f t="shared" si="4"/>
        <v>2175.0585137040525</v>
      </c>
      <c r="AR14" s="4">
        <f t="shared" si="4"/>
        <v>2167.0650544230361</v>
      </c>
      <c r="AS14" s="4">
        <f t="shared" si="4"/>
        <v>2156.6937510650769</v>
      </c>
      <c r="AT14" s="66">
        <v>0.246</v>
      </c>
      <c r="AU14" s="66">
        <v>0.246</v>
      </c>
      <c r="AV14" s="97">
        <v>43739</v>
      </c>
      <c r="AW14" s="66">
        <v>0.16900000000000001</v>
      </c>
      <c r="AX14" s="66">
        <v>0.16900000000000001</v>
      </c>
      <c r="AY14" s="4">
        <v>1.278</v>
      </c>
      <c r="AZ14" s="4">
        <v>375.30799999999999</v>
      </c>
      <c r="BA14" s="95">
        <f t="shared" si="5"/>
        <v>43739</v>
      </c>
      <c r="BB14" s="4">
        <v>0</v>
      </c>
      <c r="BC14" s="4">
        <v>206.69900000000001</v>
      </c>
      <c r="BD14" s="66">
        <v>0.14099999999999999</v>
      </c>
      <c r="BE14" s="66">
        <v>9.8000000000000004E-2</v>
      </c>
    </row>
    <row r="15" spans="1:57" x14ac:dyDescent="0.25">
      <c r="A15" s="3">
        <v>6</v>
      </c>
      <c r="B15" s="3">
        <v>142</v>
      </c>
      <c r="C15" s="37" t="str">
        <f>IF($J$1="ENG","Idea Bank","Ідея Банк")</f>
        <v>Ідея Банк</v>
      </c>
      <c r="D15" s="86" t="str">
        <f>IF($J$1="ENG","Foreign banks","Банки іноземних банківських груп")</f>
        <v>Банки іноземних банківських груп</v>
      </c>
      <c r="E15" s="4">
        <v>303.012</v>
      </c>
      <c r="F15" s="4">
        <v>606.02499999999998</v>
      </c>
      <c r="G15" s="123">
        <v>0.17238950878204098</v>
      </c>
      <c r="H15" s="123">
        <v>8.6194754391020492E-2</v>
      </c>
      <c r="I15" s="4">
        <f t="shared" si="0"/>
        <v>3515.4343456377069</v>
      </c>
      <c r="J15" s="126" t="str">
        <f t="shared" si="1"/>
        <v>ні</v>
      </c>
      <c r="K15" s="4">
        <v>303.012</v>
      </c>
      <c r="L15" s="4">
        <v>606.02499999999998</v>
      </c>
      <c r="M15" s="123">
        <v>0.17238950878204098</v>
      </c>
      <c r="N15" s="123">
        <v>8.6194754391020492E-2</v>
      </c>
      <c r="O15" s="4">
        <f t="shared" si="2"/>
        <v>3515.4343456377069</v>
      </c>
      <c r="P15" s="4">
        <v>1171.7539999999999</v>
      </c>
      <c r="Q15" s="4">
        <v>1881.1389999999999</v>
      </c>
      <c r="R15" s="4">
        <v>2526.828</v>
      </c>
      <c r="S15" s="4">
        <v>1287.8620000000001</v>
      </c>
      <c r="T15" s="4">
        <v>2000.1990000000001</v>
      </c>
      <c r="U15" s="4">
        <v>2646.7739999999999</v>
      </c>
      <c r="V15" s="123">
        <v>0.36787638152332169</v>
      </c>
      <c r="W15" s="123">
        <v>0.5705125911638248</v>
      </c>
      <c r="X15" s="123">
        <v>0.7552121264453262</v>
      </c>
      <c r="Y15" s="123">
        <v>0.33471025004396932</v>
      </c>
      <c r="Z15" s="123">
        <v>0.5365533305897241</v>
      </c>
      <c r="AA15" s="123">
        <v>0.72098764548477157</v>
      </c>
      <c r="AB15" s="4">
        <f t="shared" si="3"/>
        <v>3500.8010655367502</v>
      </c>
      <c r="AC15" s="4">
        <f t="shared" si="3"/>
        <v>3505.9683590677664</v>
      </c>
      <c r="AD15" s="4">
        <f t="shared" si="3"/>
        <v>3504.6758648701016</v>
      </c>
      <c r="AE15" s="4">
        <v>637.20299999999997</v>
      </c>
      <c r="AF15" s="4">
        <v>950.41399999999999</v>
      </c>
      <c r="AG15" s="4">
        <v>1437.539</v>
      </c>
      <c r="AH15" s="4">
        <v>771.024</v>
      </c>
      <c r="AI15" s="4">
        <v>1097.2239999999999</v>
      </c>
      <c r="AJ15" s="4">
        <v>1589.366</v>
      </c>
      <c r="AK15" s="123">
        <v>0.24496525114635836</v>
      </c>
      <c r="AL15" s="123">
        <v>0.36661090479612396</v>
      </c>
      <c r="AM15" s="123">
        <v>0.53077843006327685</v>
      </c>
      <c r="AN15" s="123">
        <v>0.20244860494653052</v>
      </c>
      <c r="AO15" s="123">
        <v>0.31755806240792839</v>
      </c>
      <c r="AP15" s="123">
        <v>0.4800745786459375</v>
      </c>
      <c r="AQ15" s="4">
        <f t="shared" si="4"/>
        <v>3147.4803205894855</v>
      </c>
      <c r="AR15" s="4">
        <f t="shared" si="4"/>
        <v>2992.8826016677172</v>
      </c>
      <c r="AS15" s="4">
        <f t="shared" si="4"/>
        <v>2994.4076690222073</v>
      </c>
      <c r="AT15" s="66">
        <v>0.1</v>
      </c>
      <c r="AU15" s="66">
        <v>7.0000000000000007E-2</v>
      </c>
      <c r="AV15" s="97">
        <v>43709</v>
      </c>
      <c r="AW15" s="66">
        <v>0.1</v>
      </c>
      <c r="AX15" s="66">
        <v>7.0000000000000007E-2</v>
      </c>
      <c r="AY15" s="4">
        <v>0</v>
      </c>
      <c r="AZ15" s="4">
        <v>0</v>
      </c>
      <c r="BA15" s="95">
        <f t="shared" si="5"/>
        <v>43709</v>
      </c>
      <c r="BB15" s="4">
        <v>0</v>
      </c>
      <c r="BC15" s="4">
        <v>0</v>
      </c>
      <c r="BD15" s="66">
        <v>0.20399999999999999</v>
      </c>
      <c r="BE15" s="66">
        <v>0.10199999999999999</v>
      </c>
    </row>
    <row r="16" spans="1:57" x14ac:dyDescent="0.25">
      <c r="A16" s="3">
        <v>7</v>
      </c>
      <c r="B16" s="3">
        <v>101</v>
      </c>
      <c r="C16" s="37" t="str">
        <f>IF($J$1="ENG","Industrialbank","Індустріалбанк")</f>
        <v>Індустріалбанк</v>
      </c>
      <c r="D16" s="86" t="str">
        <f>IF($J$1="ENG","Private banks","Банки з приватним капіталом")</f>
        <v>Банки з приватним капіталом</v>
      </c>
      <c r="E16" s="4">
        <v>889.93</v>
      </c>
      <c r="F16" s="4">
        <v>889.93</v>
      </c>
      <c r="G16" s="123">
        <v>0.35249999999999998</v>
      </c>
      <c r="H16" s="123">
        <v>0.35249999999999998</v>
      </c>
      <c r="I16" s="4">
        <f t="shared" si="0"/>
        <v>2524.6241134751772</v>
      </c>
      <c r="J16" s="126" t="str">
        <f t="shared" si="1"/>
        <v>ні</v>
      </c>
      <c r="K16" s="4">
        <v>865.82100000000003</v>
      </c>
      <c r="L16" s="4">
        <v>865.82100000000003</v>
      </c>
      <c r="M16" s="123">
        <v>0.34629408832103137</v>
      </c>
      <c r="N16" s="123">
        <v>0.34629408832103137</v>
      </c>
      <c r="O16" s="4">
        <f t="shared" si="2"/>
        <v>2500.2477062136331</v>
      </c>
      <c r="P16" s="4">
        <v>810.44600000000003</v>
      </c>
      <c r="Q16" s="4">
        <v>675.86900000000003</v>
      </c>
      <c r="R16" s="4">
        <v>446.23599999999999</v>
      </c>
      <c r="S16" s="4">
        <v>810.44600000000003</v>
      </c>
      <c r="T16" s="4">
        <v>675.86900000000003</v>
      </c>
      <c r="U16" s="4">
        <v>446.23599999999999</v>
      </c>
      <c r="V16" s="123">
        <v>0.30955517106631286</v>
      </c>
      <c r="W16" s="123">
        <v>0.25729275391677298</v>
      </c>
      <c r="X16" s="123">
        <v>0.17677994430182939</v>
      </c>
      <c r="Y16" s="123">
        <v>0.30955517106631286</v>
      </c>
      <c r="Z16" s="123">
        <v>0.25729275391677298</v>
      </c>
      <c r="AA16" s="123">
        <v>0.17677994430182939</v>
      </c>
      <c r="AB16" s="4">
        <f t="shared" si="3"/>
        <v>2618.0987292452187</v>
      </c>
      <c r="AC16" s="4">
        <f t="shared" si="3"/>
        <v>2626.8481708529762</v>
      </c>
      <c r="AD16" s="4">
        <f t="shared" si="3"/>
        <v>2524.24561939056</v>
      </c>
      <c r="AE16" s="4">
        <v>602.60900000000004</v>
      </c>
      <c r="AF16" s="4">
        <v>349.76100000000002</v>
      </c>
      <c r="AG16" s="4">
        <v>71.194000000000003</v>
      </c>
      <c r="AH16" s="4">
        <v>602.60900000000004</v>
      </c>
      <c r="AI16" s="4">
        <v>349.76100000000002</v>
      </c>
      <c r="AJ16" s="4">
        <v>71.194000000000003</v>
      </c>
      <c r="AK16" s="123">
        <v>0.21408954561674892</v>
      </c>
      <c r="AL16" s="123">
        <v>0.1198997435005253</v>
      </c>
      <c r="AM16" s="123">
        <v>2.4756292734911353E-2</v>
      </c>
      <c r="AN16" s="123">
        <v>0.21408954561674892</v>
      </c>
      <c r="AO16" s="123">
        <v>0.1198997435005253</v>
      </c>
      <c r="AP16" s="123">
        <v>2.4756292734911353E-2</v>
      </c>
      <c r="AQ16" s="4">
        <f t="shared" si="4"/>
        <v>2814.7521088150506</v>
      </c>
      <c r="AR16" s="4">
        <f t="shared" si="4"/>
        <v>2917.1121621162406</v>
      </c>
      <c r="AS16" s="4">
        <f t="shared" si="4"/>
        <v>2875.7940763724346</v>
      </c>
      <c r="AT16" s="66">
        <v>0.375</v>
      </c>
      <c r="AU16" s="66">
        <v>0.35799999999999998</v>
      </c>
      <c r="AV16" s="97">
        <v>43739</v>
      </c>
      <c r="AW16" s="66">
        <v>0.1</v>
      </c>
      <c r="AX16" s="66">
        <v>7.0000000000000007E-2</v>
      </c>
      <c r="AY16" s="4">
        <v>0</v>
      </c>
      <c r="AZ16" s="4">
        <v>72.596000000000004</v>
      </c>
      <c r="BA16" s="95">
        <f t="shared" si="5"/>
        <v>43739</v>
      </c>
      <c r="BB16" s="4">
        <v>0</v>
      </c>
      <c r="BC16" s="4">
        <v>0</v>
      </c>
      <c r="BD16" s="66">
        <v>0.37</v>
      </c>
      <c r="BE16" s="66">
        <v>0.37</v>
      </c>
    </row>
    <row r="17" spans="1:57" x14ac:dyDescent="0.25">
      <c r="A17" s="3">
        <v>8</v>
      </c>
      <c r="B17" s="3">
        <v>270</v>
      </c>
      <c r="C17" s="37" t="str">
        <f>IF($J$1="ENG","Kredyt Dnipro","Кредит Дніпро")</f>
        <v>Кредит Дніпро</v>
      </c>
      <c r="D17" s="86" t="str">
        <f>IF($J$1="ENG","Private banks","Банки з приватним капіталом")</f>
        <v>Банки з приватним капіталом</v>
      </c>
      <c r="E17" s="4">
        <v>825.01499999999999</v>
      </c>
      <c r="F17" s="4">
        <v>914.39400000000001</v>
      </c>
      <c r="G17" s="123">
        <v>0.12411523057556857</v>
      </c>
      <c r="H17" s="123">
        <v>0.1119834313399858</v>
      </c>
      <c r="I17" s="4">
        <f t="shared" si="0"/>
        <v>7367.2952340174706</v>
      </c>
      <c r="J17" s="126" t="str">
        <f t="shared" si="1"/>
        <v>ні</v>
      </c>
      <c r="K17" s="4">
        <v>373.53300000000002</v>
      </c>
      <c r="L17" s="4">
        <v>462.91199999999998</v>
      </c>
      <c r="M17" s="123">
        <v>6.8892796657211264E-2</v>
      </c>
      <c r="N17" s="123">
        <v>5.5591032426160751E-2</v>
      </c>
      <c r="O17" s="4">
        <f t="shared" si="2"/>
        <v>6719.3031627205037</v>
      </c>
      <c r="P17" s="4">
        <v>-609.88900000000001</v>
      </c>
      <c r="Q17" s="4">
        <v>-1181.0909999999999</v>
      </c>
      <c r="R17" s="4">
        <v>-1946.422</v>
      </c>
      <c r="S17" s="4">
        <v>-610.21900000000005</v>
      </c>
      <c r="T17" s="4">
        <v>-1181.421</v>
      </c>
      <c r="U17" s="4">
        <v>-1946.752</v>
      </c>
      <c r="V17" s="123">
        <v>-9.7947175192067873E-2</v>
      </c>
      <c r="W17" s="123">
        <v>-0.19684367991605614</v>
      </c>
      <c r="X17" s="123">
        <v>-0.35348423809601448</v>
      </c>
      <c r="Y17" s="123">
        <v>-9.7894206376578016E-2</v>
      </c>
      <c r="Z17" s="123">
        <v>-0.19678869664039553</v>
      </c>
      <c r="AA17" s="123">
        <v>-0.35342431788529582</v>
      </c>
      <c r="AB17" s="4">
        <f t="shared" si="3"/>
        <v>6230.0826838912999</v>
      </c>
      <c r="AC17" s="4">
        <f t="shared" si="3"/>
        <v>6001.8233778857857</v>
      </c>
      <c r="AD17" s="4">
        <f t="shared" si="3"/>
        <v>5507.3233546756483</v>
      </c>
      <c r="AE17" s="4">
        <v>-1507.03</v>
      </c>
      <c r="AF17" s="4">
        <v>-2522.2550000000001</v>
      </c>
      <c r="AG17" s="4">
        <v>-3586.5650000000001</v>
      </c>
      <c r="AH17" s="4">
        <v>-1507.36</v>
      </c>
      <c r="AI17" s="4">
        <v>-2522.585</v>
      </c>
      <c r="AJ17" s="4">
        <v>-3586.895</v>
      </c>
      <c r="AK17" s="123">
        <v>-0.23808278473397773</v>
      </c>
      <c r="AL17" s="123">
        <v>-0.41025278609851212</v>
      </c>
      <c r="AM17" s="123">
        <v>-0.62900365950322457</v>
      </c>
      <c r="AN17" s="123">
        <v>-0.23803066227673877</v>
      </c>
      <c r="AO17" s="123">
        <v>-0.41019911756621436</v>
      </c>
      <c r="AP17" s="123">
        <v>-0.62894579017217656</v>
      </c>
      <c r="AQ17" s="4">
        <f t="shared" si="4"/>
        <v>6331.2431498757896</v>
      </c>
      <c r="AR17" s="4">
        <f t="shared" si="4"/>
        <v>6148.8552558693827</v>
      </c>
      <c r="AS17" s="4">
        <f t="shared" si="4"/>
        <v>5702.502594091874</v>
      </c>
      <c r="AT17" s="66">
        <v>0.63400000000000001</v>
      </c>
      <c r="AU17" s="66">
        <v>0.61899999999999999</v>
      </c>
      <c r="AV17" s="97">
        <v>43709</v>
      </c>
      <c r="AW17" s="66">
        <v>0.434</v>
      </c>
      <c r="AX17" s="66">
        <v>0.42099999999999999</v>
      </c>
      <c r="AY17" s="4">
        <v>2429.4589999999998</v>
      </c>
      <c r="AZ17" s="4">
        <v>3791.7429999999999</v>
      </c>
      <c r="BA17" s="95">
        <f t="shared" si="5"/>
        <v>43709</v>
      </c>
      <c r="BB17" s="4">
        <v>1281.55</v>
      </c>
      <c r="BC17" s="4">
        <v>2455.8939999999998</v>
      </c>
      <c r="BD17" s="66">
        <v>0.154</v>
      </c>
      <c r="BE17" s="66">
        <v>0.14199999999999999</v>
      </c>
    </row>
    <row r="18" spans="1:57" x14ac:dyDescent="0.25">
      <c r="A18" s="3">
        <v>9</v>
      </c>
      <c r="B18" s="3">
        <v>171</v>
      </c>
      <c r="C18" s="37" t="str">
        <f>IF($J$1="ENG","Credit Agricole Bank","Креді Агріколь Банк")</f>
        <v>Креді Агріколь Банк</v>
      </c>
      <c r="D18" s="86" t="str">
        <f>IF($J$1="ENG","Foreign banks","Банки іноземних банківських груп")</f>
        <v>Банки іноземних банківських груп</v>
      </c>
      <c r="E18" s="4">
        <v>2611.922</v>
      </c>
      <c r="F18" s="4">
        <v>4885.3100000000004</v>
      </c>
      <c r="G18" s="123">
        <v>0.1996572299364312</v>
      </c>
      <c r="H18" s="123">
        <v>0.10674778439334999</v>
      </c>
      <c r="I18" s="4">
        <f t="shared" si="0"/>
        <v>24468.161234854757</v>
      </c>
      <c r="J18" s="126" t="str">
        <f t="shared" si="1"/>
        <v>ні</v>
      </c>
      <c r="K18" s="4">
        <v>2611.922</v>
      </c>
      <c r="L18" s="4">
        <v>4878.7960000000003</v>
      </c>
      <c r="M18" s="123">
        <v>0.19944672359214979</v>
      </c>
      <c r="N18" s="123">
        <v>0.10677620997447518</v>
      </c>
      <c r="O18" s="4">
        <f t="shared" si="2"/>
        <v>24461.647408391618</v>
      </c>
      <c r="P18" s="4">
        <v>4217.0640000000003</v>
      </c>
      <c r="Q18" s="4">
        <v>5367.7449999999999</v>
      </c>
      <c r="R18" s="4">
        <v>6471.3990000000003</v>
      </c>
      <c r="S18" s="4">
        <v>5366.9059999999999</v>
      </c>
      <c r="T18" s="4">
        <v>6556.7280000000001</v>
      </c>
      <c r="U18" s="4">
        <v>7672.1239999999998</v>
      </c>
      <c r="V18" s="123">
        <v>0.21591327790228307</v>
      </c>
      <c r="W18" s="123">
        <v>0.26223386311203012</v>
      </c>
      <c r="X18" s="123">
        <v>0.30776198198107807</v>
      </c>
      <c r="Y18" s="123">
        <v>0.16965459231645605</v>
      </c>
      <c r="Z18" s="123">
        <v>0.21468095581302818</v>
      </c>
      <c r="AA18" s="123">
        <v>0.25959572787800367</v>
      </c>
      <c r="AB18" s="4">
        <f t="shared" si="3"/>
        <v>24856.763040837275</v>
      </c>
      <c r="AC18" s="4">
        <f t="shared" si="3"/>
        <v>25003.358959678397</v>
      </c>
      <c r="AD18" s="4">
        <f t="shared" si="3"/>
        <v>24928.757699129845</v>
      </c>
      <c r="AE18" s="4">
        <v>3401.828</v>
      </c>
      <c r="AF18" s="4">
        <v>3990.5540000000001</v>
      </c>
      <c r="AG18" s="4">
        <v>4929.5029999999997</v>
      </c>
      <c r="AH18" s="4">
        <v>4786.5169999999998</v>
      </c>
      <c r="AI18" s="4">
        <v>5547.4639999999999</v>
      </c>
      <c r="AJ18" s="4">
        <v>6552.9530000000004</v>
      </c>
      <c r="AK18" s="123">
        <v>0.18464100340610523</v>
      </c>
      <c r="AL18" s="123">
        <v>0.20962216305304468</v>
      </c>
      <c r="AM18" s="123">
        <v>0.24666293115646232</v>
      </c>
      <c r="AN18" s="123">
        <v>0.13122632031034187</v>
      </c>
      <c r="AO18" s="123">
        <v>0.15079117236013281</v>
      </c>
      <c r="AP18" s="123">
        <v>0.18555385544951622</v>
      </c>
      <c r="AQ18" s="4">
        <f t="shared" si="4"/>
        <v>25923.366531614192</v>
      </c>
      <c r="AR18" s="4">
        <f t="shared" si="4"/>
        <v>26464.108856912433</v>
      </c>
      <c r="AS18" s="4">
        <f t="shared" si="4"/>
        <v>26566.427240533267</v>
      </c>
      <c r="AT18" s="66">
        <v>0.1</v>
      </c>
      <c r="AU18" s="66">
        <v>7.0000000000000007E-2</v>
      </c>
      <c r="AV18" s="97">
        <v>43709</v>
      </c>
      <c r="AW18" s="66">
        <v>0.1</v>
      </c>
      <c r="AX18" s="66">
        <v>7.0000000000000007E-2</v>
      </c>
      <c r="AY18" s="4">
        <v>0</v>
      </c>
      <c r="AZ18" s="4">
        <v>0</v>
      </c>
      <c r="BA18" s="95">
        <f t="shared" si="5"/>
        <v>43709</v>
      </c>
      <c r="BB18" s="4">
        <v>0</v>
      </c>
      <c r="BC18" s="4">
        <v>0</v>
      </c>
      <c r="BD18" s="66">
        <v>0.18</v>
      </c>
      <c r="BE18" s="66">
        <v>0.112</v>
      </c>
    </row>
    <row r="19" spans="1:57" s="90" customFormat="1" x14ac:dyDescent="0.25">
      <c r="A19" s="3">
        <v>10</v>
      </c>
      <c r="B19" s="3">
        <v>88</v>
      </c>
      <c r="C19" s="37" t="str">
        <f>IF($J$1="ENG","Kredobank","Кредобанк")</f>
        <v>Кредобанк</v>
      </c>
      <c r="D19" s="86" t="str">
        <f>IF($J$1="ENG","Foreign banks","Банки іноземних банківських груп")</f>
        <v>Банки іноземних банківських груп</v>
      </c>
      <c r="E19" s="4">
        <v>1240.7539999999999</v>
      </c>
      <c r="F19" s="4">
        <v>1795.057</v>
      </c>
      <c r="G19" s="123">
        <v>0.16715315728033397</v>
      </c>
      <c r="H19" s="123">
        <v>0.11553730271859332</v>
      </c>
      <c r="I19" s="4">
        <f t="shared" si="0"/>
        <v>10738.990532105667</v>
      </c>
      <c r="J19" s="126" t="str">
        <f t="shared" si="1"/>
        <v>ні</v>
      </c>
      <c r="K19" s="4">
        <v>1240.7539999999999</v>
      </c>
      <c r="L19" s="4">
        <v>1795.057</v>
      </c>
      <c r="M19" s="123">
        <v>0.16715315728033397</v>
      </c>
      <c r="N19" s="123">
        <v>0.11553730271859332</v>
      </c>
      <c r="O19" s="4">
        <f t="shared" si="2"/>
        <v>10738.990532105667</v>
      </c>
      <c r="P19" s="4">
        <v>2175.7060000000001</v>
      </c>
      <c r="Q19" s="4">
        <v>2657.79</v>
      </c>
      <c r="R19" s="4">
        <v>3082.1379999999999</v>
      </c>
      <c r="S19" s="4">
        <v>2282.5030000000002</v>
      </c>
      <c r="T19" s="4">
        <v>2764.587</v>
      </c>
      <c r="U19" s="4">
        <v>3188.9349999999999</v>
      </c>
      <c r="V19" s="123">
        <v>0.21073211896110014</v>
      </c>
      <c r="W19" s="123">
        <v>0.25463323745014405</v>
      </c>
      <c r="X19" s="123">
        <v>0.2960035865780653</v>
      </c>
      <c r="Y19" s="123">
        <v>0.20087205918263099</v>
      </c>
      <c r="Z19" s="123">
        <v>0.24479663910718699</v>
      </c>
      <c r="AA19" s="123">
        <v>0.28609044275418932</v>
      </c>
      <c r="AB19" s="4">
        <f t="shared" si="3"/>
        <v>10831.302316774025</v>
      </c>
      <c r="AC19" s="4">
        <f t="shared" si="3"/>
        <v>10857.134353205955</v>
      </c>
      <c r="AD19" s="4">
        <f t="shared" si="3"/>
        <v>10773.299416535183</v>
      </c>
      <c r="AE19" s="4">
        <v>1367.0250000000001</v>
      </c>
      <c r="AF19" s="4">
        <v>1448.934</v>
      </c>
      <c r="AG19" s="4">
        <v>1696.646</v>
      </c>
      <c r="AH19" s="4">
        <v>1473.8219999999999</v>
      </c>
      <c r="AI19" s="4">
        <v>1555.731</v>
      </c>
      <c r="AJ19" s="4">
        <v>1803.443</v>
      </c>
      <c r="AK19" s="123">
        <v>0.13564163965580681</v>
      </c>
      <c r="AL19" s="123">
        <v>0.14202328486450636</v>
      </c>
      <c r="AM19" s="123">
        <v>0.16533800007104399</v>
      </c>
      <c r="AN19" s="123">
        <v>0.12581266581447237</v>
      </c>
      <c r="AO19" s="123">
        <v>0.13227372356425743</v>
      </c>
      <c r="AP19" s="123">
        <v>0.15554692381417812</v>
      </c>
      <c r="AQ19" s="4">
        <f t="shared" si="4"/>
        <v>10865.559450237401</v>
      </c>
      <c r="AR19" s="4">
        <f t="shared" si="4"/>
        <v>10954.057699117546</v>
      </c>
      <c r="AS19" s="4">
        <f t="shared" si="4"/>
        <v>10907.615261018427</v>
      </c>
      <c r="AT19" s="66">
        <v>0.1</v>
      </c>
      <c r="AU19" s="66">
        <v>7.0000000000000007E-2</v>
      </c>
      <c r="AV19" s="97">
        <v>43709</v>
      </c>
      <c r="AW19" s="7">
        <v>0.1</v>
      </c>
      <c r="AX19" s="66">
        <v>7.0000000000000007E-2</v>
      </c>
      <c r="AY19" s="4">
        <v>0</v>
      </c>
      <c r="AZ19" s="4">
        <v>0</v>
      </c>
      <c r="BA19" s="95">
        <f t="shared" si="5"/>
        <v>43709</v>
      </c>
      <c r="BB19" s="29">
        <v>0</v>
      </c>
      <c r="BC19" s="4">
        <v>0</v>
      </c>
      <c r="BD19" s="66">
        <v>0.153</v>
      </c>
      <c r="BE19" s="66">
        <v>0.13700000000000001</v>
      </c>
    </row>
    <row r="20" spans="1:57" x14ac:dyDescent="0.25">
      <c r="A20" s="3">
        <v>11</v>
      </c>
      <c r="B20" s="3">
        <v>126</v>
      </c>
      <c r="C20" s="37" t="str">
        <f>IF($J$1="ENG","Megabank","Мегабанк")</f>
        <v>Мегабанк</v>
      </c>
      <c r="D20" s="86" t="str">
        <f>IF($J$1="ENG","Private banks","Банки з приватним капіталом")</f>
        <v>Банки з приватним капіталом</v>
      </c>
      <c r="E20" s="4">
        <v>580.73299999999995</v>
      </c>
      <c r="F20" s="4">
        <v>767.70299999999997</v>
      </c>
      <c r="G20" s="123">
        <v>8.8275504676680994E-2</v>
      </c>
      <c r="H20" s="123">
        <v>6.6776503161393996E-2</v>
      </c>
      <c r="I20" s="4">
        <f t="shared" si="0"/>
        <v>8696.6668289953741</v>
      </c>
      <c r="J20" s="126" t="str">
        <f t="shared" si="1"/>
        <v>ні</v>
      </c>
      <c r="K20" s="4">
        <v>547.82500000000005</v>
      </c>
      <c r="L20" s="4">
        <v>681.15</v>
      </c>
      <c r="M20" s="123">
        <v>7.9110414638626628E-2</v>
      </c>
      <c r="N20" s="123">
        <v>6.3625727736731003E-2</v>
      </c>
      <c r="O20" s="4">
        <f t="shared" si="2"/>
        <v>8610.1176283087407</v>
      </c>
      <c r="P20" s="4">
        <v>-395.01</v>
      </c>
      <c r="Q20" s="4">
        <v>-631.04100000000005</v>
      </c>
      <c r="R20" s="4">
        <v>-840.00400000000002</v>
      </c>
      <c r="S20" s="4">
        <v>-395.036</v>
      </c>
      <c r="T20" s="4">
        <v>-631.06700000000001</v>
      </c>
      <c r="U20" s="4">
        <v>-840.03</v>
      </c>
      <c r="V20" s="123">
        <v>-4.8708305674605969E-2</v>
      </c>
      <c r="W20" s="123">
        <v>-7.7579714327265584E-2</v>
      </c>
      <c r="X20" s="123">
        <v>-0.10372210804202117</v>
      </c>
      <c r="Y20" s="123">
        <v>-4.8705099853513477E-2</v>
      </c>
      <c r="Z20" s="123">
        <v>-7.7576518037817122E-2</v>
      </c>
      <c r="AA20" s="123">
        <v>-0.103718897710655</v>
      </c>
      <c r="AB20" s="4">
        <f t="shared" si="3"/>
        <v>8110.2389932068863</v>
      </c>
      <c r="AC20" s="4">
        <f t="shared" si="3"/>
        <v>8134.4331501496263</v>
      </c>
      <c r="AD20" s="4">
        <f t="shared" si="3"/>
        <v>8098.8519791577655</v>
      </c>
      <c r="AE20" s="4">
        <v>-1303.76</v>
      </c>
      <c r="AF20" s="4">
        <v>-1841.2149999999999</v>
      </c>
      <c r="AG20" s="4">
        <v>-2247.172</v>
      </c>
      <c r="AH20" s="4">
        <v>-1303.7860000000001</v>
      </c>
      <c r="AI20" s="4">
        <v>-1841.241</v>
      </c>
      <c r="AJ20" s="4">
        <v>-2247.1979999999999</v>
      </c>
      <c r="AK20" s="123">
        <v>-0.15621920987685345</v>
      </c>
      <c r="AL20" s="123">
        <v>-0.21474757800113309</v>
      </c>
      <c r="AM20" s="123">
        <v>-0.26242685878124761</v>
      </c>
      <c r="AN20" s="123">
        <v>-0.15621609456442256</v>
      </c>
      <c r="AO20" s="123">
        <v>-0.21474454557048056</v>
      </c>
      <c r="AP20" s="123">
        <v>-0.26242382251158791</v>
      </c>
      <c r="AQ20" s="4">
        <f t="shared" si="4"/>
        <v>8345.8750113762271</v>
      </c>
      <c r="AR20" s="4">
        <f t="shared" si="4"/>
        <v>8573.9779565004192</v>
      </c>
      <c r="AS20" s="4">
        <f t="shared" si="4"/>
        <v>8563.1402610209716</v>
      </c>
      <c r="AT20" s="66">
        <v>0.38200000000000001</v>
      </c>
      <c r="AU20" s="66">
        <v>0.35899999999999999</v>
      </c>
      <c r="AV20" s="97">
        <v>43709</v>
      </c>
      <c r="AW20" s="66">
        <v>0.34599999999999997</v>
      </c>
      <c r="AX20" s="66">
        <v>0.32300000000000001</v>
      </c>
      <c r="AY20" s="4">
        <v>1603.366</v>
      </c>
      <c r="AZ20" s="4">
        <v>2628.8049999999998</v>
      </c>
      <c r="BA20" s="95">
        <f t="shared" si="5"/>
        <v>43709</v>
      </c>
      <c r="BB20" s="4">
        <v>1475.63</v>
      </c>
      <c r="BC20" s="4">
        <v>2314.335</v>
      </c>
      <c r="BD20" s="66">
        <v>0.12</v>
      </c>
      <c r="BE20" s="66">
        <v>0.08</v>
      </c>
    </row>
    <row r="21" spans="1:57" x14ac:dyDescent="0.25">
      <c r="A21" s="3">
        <v>12</v>
      </c>
      <c r="B21" s="3">
        <v>389</v>
      </c>
      <c r="C21" s="37" t="str">
        <f>IF($J$1="ENG","IIB","МІБ")</f>
        <v>МІБ</v>
      </c>
      <c r="D21" s="86" t="str">
        <f>IF($J$1="ENG","Private banks","Банки з приватним капіталом")</f>
        <v>Банки з приватним капіталом</v>
      </c>
      <c r="E21" s="4">
        <v>281.77300000000002</v>
      </c>
      <c r="F21" s="4">
        <v>398.46</v>
      </c>
      <c r="G21" s="123">
        <v>0.1716</v>
      </c>
      <c r="H21" s="123">
        <v>0.12139999999999999</v>
      </c>
      <c r="I21" s="4">
        <f t="shared" si="0"/>
        <v>2321.0296540362442</v>
      </c>
      <c r="J21" s="126" t="str">
        <f t="shared" si="1"/>
        <v>ні</v>
      </c>
      <c r="K21" s="4">
        <v>201.542</v>
      </c>
      <c r="L21" s="4">
        <v>300.935</v>
      </c>
      <c r="M21" s="123">
        <v>0.13514166193932781</v>
      </c>
      <c r="N21" s="123">
        <v>9.0506842468328158E-2</v>
      </c>
      <c r="O21" s="4">
        <f t="shared" si="2"/>
        <v>2226.81506175102</v>
      </c>
      <c r="P21" s="4">
        <v>118.473</v>
      </c>
      <c r="Q21" s="4">
        <v>212.91300000000001</v>
      </c>
      <c r="R21" s="4">
        <v>299.637</v>
      </c>
      <c r="S21" s="4">
        <v>178.14699999999999</v>
      </c>
      <c r="T21" s="4">
        <v>226.03899999999999</v>
      </c>
      <c r="U21" s="4">
        <v>293.815</v>
      </c>
      <c r="V21" s="123">
        <v>8.7026064206387407E-2</v>
      </c>
      <c r="W21" s="123">
        <v>0.11289620074191066</v>
      </c>
      <c r="X21" s="123">
        <v>0.1533761310968243</v>
      </c>
      <c r="Y21" s="123">
        <v>5.7874980596302236E-2</v>
      </c>
      <c r="Z21" s="123">
        <v>0.10634015210812868</v>
      </c>
      <c r="AA21" s="123">
        <v>0.15641531023617891</v>
      </c>
      <c r="AB21" s="4">
        <f t="shared" si="3"/>
        <v>2047.050362338601</v>
      </c>
      <c r="AC21" s="4">
        <f t="shared" si="3"/>
        <v>2002.1882212798232</v>
      </c>
      <c r="AD21" s="4">
        <f t="shared" si="3"/>
        <v>1915.65006998077</v>
      </c>
      <c r="AE21" s="4">
        <v>-195.40199999999999</v>
      </c>
      <c r="AF21" s="4">
        <v>-263.10700000000003</v>
      </c>
      <c r="AG21" s="4">
        <v>-205.023</v>
      </c>
      <c r="AH21" s="4">
        <v>-201.22399999999999</v>
      </c>
      <c r="AI21" s="4">
        <v>-268.92899999999997</v>
      </c>
      <c r="AJ21" s="4">
        <v>-210.845</v>
      </c>
      <c r="AK21" s="123">
        <v>-9.1517353007788793E-2</v>
      </c>
      <c r="AL21" s="123">
        <v>-0.12235547078602546</v>
      </c>
      <c r="AM21" s="123">
        <v>-9.6688409209268189E-2</v>
      </c>
      <c r="AN21" s="123">
        <v>-8.8869484825692319E-2</v>
      </c>
      <c r="AO21" s="123">
        <v>-0.11970662028438266</v>
      </c>
      <c r="AP21" s="123">
        <v>-9.4018577041858384E-2</v>
      </c>
      <c r="AQ21" s="4">
        <f t="shared" si="4"/>
        <v>2198.7524782354644</v>
      </c>
      <c r="AR21" s="4">
        <f t="shared" si="4"/>
        <v>2197.9319053110539</v>
      </c>
      <c r="AS21" s="4">
        <f t="shared" si="4"/>
        <v>2180.6647840322121</v>
      </c>
      <c r="AT21" s="66">
        <v>0.25</v>
      </c>
      <c r="AU21" s="66">
        <v>0.24299999999999999</v>
      </c>
      <c r="AV21" s="97">
        <v>43709</v>
      </c>
      <c r="AW21" s="66">
        <v>0.13700000000000001</v>
      </c>
      <c r="AX21" s="66">
        <v>0.13200000000000001</v>
      </c>
      <c r="AY21" s="4">
        <v>26.558</v>
      </c>
      <c r="AZ21" s="4">
        <v>355.40100000000001</v>
      </c>
      <c r="BA21" s="95">
        <f t="shared" si="5"/>
        <v>43709</v>
      </c>
      <c r="BB21" s="4">
        <v>0</v>
      </c>
      <c r="BC21" s="4">
        <v>102.452</v>
      </c>
      <c r="BD21" s="66">
        <v>0.22700000000000001</v>
      </c>
      <c r="BE21" s="66">
        <v>0.191</v>
      </c>
    </row>
    <row r="22" spans="1:57" x14ac:dyDescent="0.25">
      <c r="A22" s="3">
        <v>13</v>
      </c>
      <c r="B22" s="3">
        <v>105</v>
      </c>
      <c r="C22" s="37" t="str">
        <f>IF($J$1="ENG","MTB","МТБ")</f>
        <v>МТБ</v>
      </c>
      <c r="D22" s="86" t="str">
        <f>IF($J$1="ENG","Private banks","Банки з приватним капіталом")</f>
        <v>Банки з приватним капіталом</v>
      </c>
      <c r="E22" s="4">
        <v>510.84500000000003</v>
      </c>
      <c r="F22" s="4">
        <v>588.01</v>
      </c>
      <c r="G22" s="123">
        <v>0.1949807236237513</v>
      </c>
      <c r="H22" s="123">
        <v>0.16939326378907529</v>
      </c>
      <c r="I22" s="4">
        <f t="shared" si="0"/>
        <v>3015.7338525343771</v>
      </c>
      <c r="J22" s="126" t="str">
        <f t="shared" si="1"/>
        <v>ні</v>
      </c>
      <c r="K22" s="4">
        <v>510.84500000000003</v>
      </c>
      <c r="L22" s="4">
        <v>588.01</v>
      </c>
      <c r="M22" s="123">
        <v>0.1949807236237513</v>
      </c>
      <c r="N22" s="123">
        <v>0.16939326378907529</v>
      </c>
      <c r="O22" s="4">
        <f t="shared" si="2"/>
        <v>3015.7338525343771</v>
      </c>
      <c r="P22" s="4">
        <v>470.44799999999998</v>
      </c>
      <c r="Q22" s="4">
        <v>429.41800000000001</v>
      </c>
      <c r="R22" s="4">
        <v>386.18400000000003</v>
      </c>
      <c r="S22" s="4">
        <v>552.428</v>
      </c>
      <c r="T22" s="4">
        <v>500.279</v>
      </c>
      <c r="U22" s="4">
        <v>444.13400000000001</v>
      </c>
      <c r="V22" s="123">
        <v>0.17972387967941134</v>
      </c>
      <c r="W22" s="123">
        <v>0.16191125078649513</v>
      </c>
      <c r="X22" s="123">
        <v>0.14415405947239748</v>
      </c>
      <c r="Y22" s="123">
        <v>0.1530529951808044</v>
      </c>
      <c r="Z22" s="123">
        <v>0.13897741466327745</v>
      </c>
      <c r="AA22" s="123">
        <v>0.12534531601572058</v>
      </c>
      <c r="AB22" s="4">
        <f t="shared" si="3"/>
        <v>3073.7588600879772</v>
      </c>
      <c r="AC22" s="4">
        <f t="shared" si="3"/>
        <v>3089.8401804380869</v>
      </c>
      <c r="AD22" s="4">
        <f t="shared" si="3"/>
        <v>3080.9607592481998</v>
      </c>
      <c r="AE22" s="4">
        <v>133.06800000000001</v>
      </c>
      <c r="AF22" s="4">
        <v>-61.243000000000002</v>
      </c>
      <c r="AG22" s="4">
        <v>-192.947</v>
      </c>
      <c r="AH22" s="4">
        <v>228.18</v>
      </c>
      <c r="AI22" s="4">
        <v>-61.243000000000002</v>
      </c>
      <c r="AJ22" s="4">
        <v>-192.947</v>
      </c>
      <c r="AK22" s="123">
        <v>7.3286417793190242E-2</v>
      </c>
      <c r="AL22" s="123">
        <v>-1.9229790926243863E-2</v>
      </c>
      <c r="AM22" s="123">
        <v>-6.0294372671298821E-2</v>
      </c>
      <c r="AN22" s="123">
        <v>4.2738650974133811E-2</v>
      </c>
      <c r="AO22" s="123">
        <v>-1.9229790926243863E-2</v>
      </c>
      <c r="AP22" s="123">
        <v>-6.0294372671298821E-2</v>
      </c>
      <c r="AQ22" s="4">
        <f t="shared" si="4"/>
        <v>3113.5283161027969</v>
      </c>
      <c r="AR22" s="4">
        <f t="shared" si="4"/>
        <v>3184.7980165202212</v>
      </c>
      <c r="AS22" s="4">
        <f t="shared" si="4"/>
        <v>3200.0830500695492</v>
      </c>
      <c r="AT22" s="66">
        <v>0.27100000000000002</v>
      </c>
      <c r="AU22" s="66">
        <v>0.27100000000000002</v>
      </c>
      <c r="AV22" s="97">
        <v>43709</v>
      </c>
      <c r="AW22" s="66">
        <v>0.22900000000000001</v>
      </c>
      <c r="AX22" s="66">
        <v>0.22900000000000001</v>
      </c>
      <c r="AY22" s="4">
        <v>0</v>
      </c>
      <c r="AZ22" s="4">
        <v>304.95100000000002</v>
      </c>
      <c r="BA22" s="95">
        <f t="shared" si="5"/>
        <v>43709</v>
      </c>
      <c r="BB22" s="4">
        <v>0</v>
      </c>
      <c r="BC22" s="4">
        <v>180</v>
      </c>
      <c r="BD22" s="66">
        <v>0.18099999999999999</v>
      </c>
      <c r="BE22" s="66">
        <v>0.161</v>
      </c>
    </row>
    <row r="23" spans="1:57" x14ac:dyDescent="0.25">
      <c r="A23" s="3">
        <v>14</v>
      </c>
      <c r="B23" s="3">
        <v>296</v>
      </c>
      <c r="C23" s="37" t="str">
        <f>IF($J$1="ENG","OTP Bank","ОТП Банк")</f>
        <v>ОТП Банк</v>
      </c>
      <c r="D23" s="86" t="str">
        <f>IF($J$1="ENG","Foreign banks","Банки іноземних банківських груп")</f>
        <v>Банки іноземних банківських груп</v>
      </c>
      <c r="E23" s="4">
        <v>3022.518</v>
      </c>
      <c r="F23" s="4">
        <v>4858.8530000000001</v>
      </c>
      <c r="G23" s="123">
        <v>0.19222704267393542</v>
      </c>
      <c r="H23" s="123">
        <v>0.11957752071351134</v>
      </c>
      <c r="I23" s="4">
        <f t="shared" si="0"/>
        <v>25276.640475273533</v>
      </c>
      <c r="J23" s="126" t="str">
        <f t="shared" si="1"/>
        <v>ні</v>
      </c>
      <c r="K23" s="4">
        <v>3022.518</v>
      </c>
      <c r="L23" s="4">
        <v>4858.8530000000001</v>
      </c>
      <c r="M23" s="123">
        <v>0.19222704267393542</v>
      </c>
      <c r="N23" s="123">
        <v>0.11957752071351134</v>
      </c>
      <c r="O23" s="4">
        <f t="shared" si="2"/>
        <v>25276.640475273533</v>
      </c>
      <c r="P23" s="4">
        <v>7079.5659999999998</v>
      </c>
      <c r="Q23" s="4">
        <v>9319.3649999999998</v>
      </c>
      <c r="R23" s="4">
        <v>11469.982</v>
      </c>
      <c r="S23" s="4">
        <v>7079.5659999999998</v>
      </c>
      <c r="T23" s="4">
        <v>9319.3649999999998</v>
      </c>
      <c r="U23" s="4">
        <v>11469.982</v>
      </c>
      <c r="V23" s="123">
        <v>0.27289609453408675</v>
      </c>
      <c r="W23" s="123">
        <v>0.3559130008949819</v>
      </c>
      <c r="X23" s="123">
        <v>0.44126354330638301</v>
      </c>
      <c r="Y23" s="123">
        <v>0.27289609546846622</v>
      </c>
      <c r="Z23" s="123">
        <v>0.35591300182072427</v>
      </c>
      <c r="AA23" s="123">
        <v>0.441263544238924</v>
      </c>
      <c r="AB23" s="4">
        <f t="shared" si="3"/>
        <v>25942.349918370524</v>
      </c>
      <c r="AC23" s="4">
        <f t="shared" si="3"/>
        <v>26184.390433407727</v>
      </c>
      <c r="AD23" s="4">
        <f t="shared" si="3"/>
        <v>25993.49560993765</v>
      </c>
      <c r="AE23" s="4">
        <v>5342.4110000000001</v>
      </c>
      <c r="AF23" s="4">
        <v>6566.2460000000001</v>
      </c>
      <c r="AG23" s="4">
        <v>8394.393</v>
      </c>
      <c r="AH23" s="4">
        <v>5342.4110000000001</v>
      </c>
      <c r="AI23" s="4">
        <v>6566.2460000000001</v>
      </c>
      <c r="AJ23" s="4">
        <v>8394.3919999999998</v>
      </c>
      <c r="AK23" s="123">
        <v>0.19873067676594408</v>
      </c>
      <c r="AL23" s="123">
        <v>0.23940612185625759</v>
      </c>
      <c r="AM23" s="123">
        <v>0.30494686422544059</v>
      </c>
      <c r="AN23" s="123">
        <v>0.19873067766764022</v>
      </c>
      <c r="AO23" s="123">
        <v>0.23940612274005091</v>
      </c>
      <c r="AP23" s="123">
        <v>0.30494686510601793</v>
      </c>
      <c r="AQ23" s="4">
        <f t="shared" si="4"/>
        <v>26882.668859685156</v>
      </c>
      <c r="AR23" s="4">
        <f t="shared" si="4"/>
        <v>27427.226692650976</v>
      </c>
      <c r="AS23" s="4">
        <f t="shared" si="4"/>
        <v>27527.395623764169</v>
      </c>
      <c r="AT23" s="66">
        <v>0.1</v>
      </c>
      <c r="AU23" s="66">
        <v>7.0000000000000007E-2</v>
      </c>
      <c r="AV23" s="97">
        <v>43709</v>
      </c>
      <c r="AW23" s="66">
        <v>0.1</v>
      </c>
      <c r="AX23" s="66">
        <v>7.0000000000000007E-2</v>
      </c>
      <c r="AY23" s="4">
        <v>0</v>
      </c>
      <c r="AZ23" s="4">
        <v>0</v>
      </c>
      <c r="BA23" s="95">
        <f t="shared" si="5"/>
        <v>43709</v>
      </c>
      <c r="BB23" s="4">
        <v>0</v>
      </c>
      <c r="BC23" s="4">
        <v>0</v>
      </c>
      <c r="BD23" s="66">
        <v>0.20899999999999999</v>
      </c>
      <c r="BE23" s="66">
        <v>0.153</v>
      </c>
    </row>
    <row r="24" spans="1:57" x14ac:dyDescent="0.25">
      <c r="A24" s="3">
        <v>15</v>
      </c>
      <c r="B24" s="3">
        <v>6</v>
      </c>
      <c r="C24" s="37" t="str">
        <f>IF($J$1="ENG","Oschadbank","Ощадбанк")</f>
        <v>Ощадбанк</v>
      </c>
      <c r="D24" s="86" t="str">
        <f>IF($J$1="ENG","State-owned banks","Банки з державною часткою")</f>
        <v>Банки з державною часткою</v>
      </c>
      <c r="E24" s="4">
        <v>7926.9809999999998</v>
      </c>
      <c r="F24" s="4">
        <v>11599.89</v>
      </c>
      <c r="G24" s="123">
        <v>0.12696739194005918</v>
      </c>
      <c r="H24" s="123">
        <v>8.6765316778661838E-2</v>
      </c>
      <c r="I24" s="4">
        <f t="shared" si="0"/>
        <v>91361.171655970713</v>
      </c>
      <c r="J24" s="126" t="str">
        <f t="shared" si="1"/>
        <v>ні</v>
      </c>
      <c r="K24" s="4">
        <v>7864.9449999999997</v>
      </c>
      <c r="L24" s="4">
        <v>11537.853999999999</v>
      </c>
      <c r="M24" s="123">
        <v>0.12637418414361917</v>
      </c>
      <c r="N24" s="123">
        <v>8.6144792494614569E-2</v>
      </c>
      <c r="O24" s="4">
        <f t="shared" si="2"/>
        <v>91299.134541321051</v>
      </c>
      <c r="P24" s="4">
        <v>1084.5070000000001</v>
      </c>
      <c r="Q24" s="4">
        <v>-2013.7190000000001</v>
      </c>
      <c r="R24" s="4">
        <v>-7413.68</v>
      </c>
      <c r="S24" s="4">
        <v>2111.7939999999999</v>
      </c>
      <c r="T24" s="4">
        <v>-2070.9389999999999</v>
      </c>
      <c r="U24" s="4">
        <v>-7470.9</v>
      </c>
      <c r="V24" s="123">
        <v>2.3925380141358688E-2</v>
      </c>
      <c r="W24" s="123">
        <v>-2.4102626817781407E-2</v>
      </c>
      <c r="X24" s="123">
        <v>-9.3853561760869786E-2</v>
      </c>
      <c r="Y24" s="123">
        <v>1.228682456542427E-2</v>
      </c>
      <c r="Z24" s="123">
        <v>-2.3436671446769145E-2</v>
      </c>
      <c r="AA24" s="123">
        <v>-9.3134732312153592E-2</v>
      </c>
      <c r="AB24" s="4">
        <f t="shared" si="3"/>
        <v>88265.848855029326</v>
      </c>
      <c r="AC24" s="4">
        <f t="shared" si="3"/>
        <v>85921.714803814451</v>
      </c>
      <c r="AD24" s="4">
        <f t="shared" si="3"/>
        <v>79601.66756212982</v>
      </c>
      <c r="AE24" s="4">
        <v>-10094.178</v>
      </c>
      <c r="AF24" s="4">
        <v>-17117.973999999998</v>
      </c>
      <c r="AG24" s="4">
        <v>-25062.575000000001</v>
      </c>
      <c r="AH24" s="4">
        <v>-10151.397999999999</v>
      </c>
      <c r="AI24" s="4">
        <v>-17175.194</v>
      </c>
      <c r="AJ24" s="4">
        <v>-25119.794999999998</v>
      </c>
      <c r="AK24" s="123">
        <v>-0.10827779200643463</v>
      </c>
      <c r="AL24" s="123">
        <v>-0.17952243780214577</v>
      </c>
      <c r="AM24" s="123">
        <v>-0.27623619616031109</v>
      </c>
      <c r="AN24" s="123">
        <v>-0.10766746645710383</v>
      </c>
      <c r="AO24" s="123">
        <v>-0.17892434977712371</v>
      </c>
      <c r="AP24" s="123">
        <v>-0.2756069616655476</v>
      </c>
      <c r="AQ24" s="4">
        <f t="shared" si="4"/>
        <v>93753.278795890088</v>
      </c>
      <c r="AR24" s="4">
        <f t="shared" si="4"/>
        <v>95671.573049296669</v>
      </c>
      <c r="AS24" s="4">
        <f t="shared" si="4"/>
        <v>90935.92864469708</v>
      </c>
      <c r="AT24" s="66">
        <v>0.40100000000000002</v>
      </c>
      <c r="AU24" s="66">
        <v>0.39500000000000002</v>
      </c>
      <c r="AV24" s="97">
        <v>43709</v>
      </c>
      <c r="AW24" s="66">
        <v>0.32200000000000001</v>
      </c>
      <c r="AX24" s="66">
        <v>0.317</v>
      </c>
      <c r="AY24" s="4">
        <v>13493.168</v>
      </c>
      <c r="AZ24" s="4">
        <v>28245.332999999999</v>
      </c>
      <c r="BA24" s="95">
        <f t="shared" si="5"/>
        <v>43709</v>
      </c>
      <c r="BB24" s="4">
        <v>6190</v>
      </c>
      <c r="BC24" s="4">
        <v>21139</v>
      </c>
      <c r="BD24" s="66">
        <v>0.13600000000000001</v>
      </c>
      <c r="BE24" s="66">
        <v>0.10100000000000001</v>
      </c>
    </row>
    <row r="25" spans="1:57" x14ac:dyDescent="0.25">
      <c r="A25" s="3">
        <v>16</v>
      </c>
      <c r="B25" s="3">
        <v>106</v>
      </c>
      <c r="C25" s="37" t="str">
        <f>IF($J$1="ENG","Pivdennyi","Південний")</f>
        <v>Південний</v>
      </c>
      <c r="D25" s="86" t="str">
        <f>IF($J$1="ENG","Private banks","Банки з приватним капіталом")</f>
        <v>Банки з приватним капіталом</v>
      </c>
      <c r="E25" s="4">
        <v>1769.674</v>
      </c>
      <c r="F25" s="4">
        <v>2348.2730000000001</v>
      </c>
      <c r="G25" s="123">
        <v>0.12111873580888907</v>
      </c>
      <c r="H25" s="123">
        <v>9.1275901820012106E-2</v>
      </c>
      <c r="I25" s="4">
        <f t="shared" si="0"/>
        <v>19388.184227307207</v>
      </c>
      <c r="J25" s="126" t="str">
        <f t="shared" si="1"/>
        <v>ні</v>
      </c>
      <c r="K25" s="4">
        <v>1769.674</v>
      </c>
      <c r="L25" s="4">
        <v>2348.2730000000001</v>
      </c>
      <c r="M25" s="123">
        <v>0.12111873580888907</v>
      </c>
      <c r="N25" s="123">
        <v>9.1275901820012106E-2</v>
      </c>
      <c r="O25" s="4">
        <f t="shared" si="2"/>
        <v>19388.184227307207</v>
      </c>
      <c r="P25" s="4">
        <v>2307.2370000000001</v>
      </c>
      <c r="Q25" s="4">
        <v>2410.9160000000002</v>
      </c>
      <c r="R25" s="4">
        <v>2378.0859999999998</v>
      </c>
      <c r="S25" s="4">
        <v>2491.8510000000001</v>
      </c>
      <c r="T25" s="4">
        <v>2599.8040000000001</v>
      </c>
      <c r="U25" s="4">
        <v>2454.5039999999999</v>
      </c>
      <c r="V25" s="123">
        <v>0.12611447823373342</v>
      </c>
      <c r="W25" s="123">
        <v>0.13141838492322444</v>
      </c>
      <c r="X25" s="123">
        <v>0.12657650102965828</v>
      </c>
      <c r="Y25" s="123">
        <v>0.11677106068939463</v>
      </c>
      <c r="Z25" s="123">
        <v>0.12187018962237606</v>
      </c>
      <c r="AA25" s="123">
        <v>0.12263569789554042</v>
      </c>
      <c r="AB25" s="4">
        <f t="shared" si="3"/>
        <v>19758.636997715887</v>
      </c>
      <c r="AC25" s="4">
        <f t="shared" si="3"/>
        <v>19782.655688568342</v>
      </c>
      <c r="AD25" s="4">
        <f t="shared" si="3"/>
        <v>19391.466276203068</v>
      </c>
      <c r="AE25" s="4">
        <v>705.72799999999995</v>
      </c>
      <c r="AF25" s="4">
        <v>-174.904</v>
      </c>
      <c r="AG25" s="4">
        <v>-758.01400000000001</v>
      </c>
      <c r="AH25" s="4">
        <v>915.99400000000003</v>
      </c>
      <c r="AI25" s="4">
        <v>-217.327</v>
      </c>
      <c r="AJ25" s="4">
        <v>-800.43700000000001</v>
      </c>
      <c r="AK25" s="123">
        <v>4.3536733254855964E-2</v>
      </c>
      <c r="AL25" s="123">
        <v>-1.008080752567362E-2</v>
      </c>
      <c r="AM25" s="123">
        <v>-3.7484011327097257E-2</v>
      </c>
      <c r="AN25" s="123">
        <v>3.3542913401118153E-2</v>
      </c>
      <c r="AO25" s="123">
        <v>-8.1130115340819018E-3</v>
      </c>
      <c r="AP25" s="123">
        <v>-3.5497380792131786E-2</v>
      </c>
      <c r="AQ25" s="4">
        <f t="shared" si="4"/>
        <v>21039.555853740316</v>
      </c>
      <c r="AR25" s="4">
        <f t="shared" si="4"/>
        <v>21558.455730679885</v>
      </c>
      <c r="AS25" s="4">
        <f t="shared" si="4"/>
        <v>21354.082557212743</v>
      </c>
      <c r="AT25" s="66">
        <v>0.20399999999999999</v>
      </c>
      <c r="AU25" s="66">
        <v>0.192</v>
      </c>
      <c r="AV25" s="97">
        <v>43709</v>
      </c>
      <c r="AW25" s="66">
        <v>0.161</v>
      </c>
      <c r="AX25" s="66">
        <v>0.14899999999999999</v>
      </c>
      <c r="AY25" s="4">
        <v>0</v>
      </c>
      <c r="AZ25" s="4">
        <v>1736.1079999999999</v>
      </c>
      <c r="BA25" s="95">
        <f t="shared" si="5"/>
        <v>43709</v>
      </c>
      <c r="BB25" s="4">
        <v>0</v>
      </c>
      <c r="BC25" s="4">
        <v>907.798</v>
      </c>
      <c r="BD25" s="66">
        <v>0.123</v>
      </c>
      <c r="BE25" s="66">
        <v>0.105</v>
      </c>
    </row>
    <row r="26" spans="1:57" x14ac:dyDescent="0.25">
      <c r="A26" s="3">
        <v>17</v>
      </c>
      <c r="B26" s="3">
        <v>46</v>
      </c>
      <c r="C26" s="37" t="str">
        <f>IF($J$1="ENG","Privatbank","Приватбанк")</f>
        <v>Приватбанк</v>
      </c>
      <c r="D26" s="86" t="str">
        <f>IF($J$1="ENG","State-owned banks","Банки з державною часткою")</f>
        <v>Банки з державною часткою</v>
      </c>
      <c r="E26" s="4">
        <v>8655.2289999999994</v>
      </c>
      <c r="F26" s="4">
        <v>17163.357</v>
      </c>
      <c r="G26" s="123">
        <v>0.15420654846070725</v>
      </c>
      <c r="H26" s="123">
        <v>7.7764094932839756E-2</v>
      </c>
      <c r="I26" s="4">
        <f t="shared" si="0"/>
        <v>111301.09605821309</v>
      </c>
      <c r="J26" s="126" t="str">
        <f t="shared" si="1"/>
        <v>ні</v>
      </c>
      <c r="K26" s="4">
        <v>8655.2289999999994</v>
      </c>
      <c r="L26" s="4">
        <v>17163.357</v>
      </c>
      <c r="M26" s="123">
        <v>0.15420654846070725</v>
      </c>
      <c r="N26" s="123">
        <v>7.7764094932839756E-2</v>
      </c>
      <c r="O26" s="4">
        <f t="shared" si="2"/>
        <v>111301.09605821309</v>
      </c>
      <c r="P26" s="4">
        <v>24778.657999999999</v>
      </c>
      <c r="Q26" s="4">
        <v>41266.267999999996</v>
      </c>
      <c r="R26" s="4">
        <v>58451.07</v>
      </c>
      <c r="S26" s="4">
        <v>35939.665000000001</v>
      </c>
      <c r="T26" s="4">
        <v>52427.275000000001</v>
      </c>
      <c r="U26" s="4">
        <v>69612.077000000005</v>
      </c>
      <c r="V26" s="123">
        <v>0.31566065391765763</v>
      </c>
      <c r="W26" s="123">
        <v>0.45645990118952096</v>
      </c>
      <c r="X26" s="123">
        <v>0.61201310407540876</v>
      </c>
      <c r="Y26" s="123">
        <v>0.2176327274105867</v>
      </c>
      <c r="Z26" s="123">
        <v>0.35928620281566115</v>
      </c>
      <c r="AA26" s="123">
        <v>0.51388813926671983</v>
      </c>
      <c r="AB26" s="4">
        <f t="shared" si="3"/>
        <v>113855.38514734732</v>
      </c>
      <c r="AC26" s="4">
        <f t="shared" si="3"/>
        <v>114856.25575544983</v>
      </c>
      <c r="AD26" s="4">
        <f t="shared" si="3"/>
        <v>113742.78862206341</v>
      </c>
      <c r="AE26" s="4">
        <v>11046.495999999999</v>
      </c>
      <c r="AF26" s="4">
        <v>19672.339</v>
      </c>
      <c r="AG26" s="4">
        <v>33487.93</v>
      </c>
      <c r="AH26" s="4">
        <v>21945.892</v>
      </c>
      <c r="AI26" s="4">
        <v>30833.346000000001</v>
      </c>
      <c r="AJ26" s="4">
        <v>44648.936999999998</v>
      </c>
      <c r="AK26" s="123">
        <v>0.18639442676912168</v>
      </c>
      <c r="AL26" s="123">
        <v>0.25456956385381607</v>
      </c>
      <c r="AM26" s="123">
        <v>0.36518019775108995</v>
      </c>
      <c r="AN26" s="123">
        <v>9.3821900780877682E-2</v>
      </c>
      <c r="AO26" s="123">
        <v>0.16242086433264827</v>
      </c>
      <c r="AP26" s="123">
        <v>0.27389518434010379</v>
      </c>
      <c r="AQ26" s="4">
        <f t="shared" si="4"/>
        <v>117738.99172858628</v>
      </c>
      <c r="AR26" s="4">
        <f t="shared" si="4"/>
        <v>121119.53153820064</v>
      </c>
      <c r="AS26" s="4">
        <f t="shared" si="4"/>
        <v>122265.49393587382</v>
      </c>
      <c r="AT26" s="66">
        <v>0.1</v>
      </c>
      <c r="AU26" s="66">
        <v>7.0000000000000007E-2</v>
      </c>
      <c r="AV26" s="97">
        <v>43709</v>
      </c>
      <c r="AW26" s="66">
        <v>0.1</v>
      </c>
      <c r="AX26" s="66">
        <v>7.0000000000000007E-2</v>
      </c>
      <c r="AY26" s="4">
        <v>0</v>
      </c>
      <c r="AZ26" s="4">
        <v>0</v>
      </c>
      <c r="BA26" s="95">
        <f t="shared" si="5"/>
        <v>43709</v>
      </c>
      <c r="BB26" s="4">
        <v>0</v>
      </c>
      <c r="BC26" s="4">
        <v>0</v>
      </c>
      <c r="BD26" s="66">
        <v>0.14199999999999999</v>
      </c>
      <c r="BE26" s="66">
        <v>7.0999999999999994E-2</v>
      </c>
    </row>
    <row r="27" spans="1:57" x14ac:dyDescent="0.25">
      <c r="A27" s="3">
        <v>18</v>
      </c>
      <c r="B27" s="3">
        <v>298</v>
      </c>
      <c r="C27" s="37" t="str">
        <f>IF($J$1="ENG","Procredit","Прокредит")</f>
        <v>Прокредит</v>
      </c>
      <c r="D27" s="86" t="str">
        <f>IF($J$1="ENG","Foreign banks","Банки іноземних банківських груп")</f>
        <v>Банки іноземних банківських груп</v>
      </c>
      <c r="E27" s="4">
        <v>2314.9409999999998</v>
      </c>
      <c r="F27" s="4">
        <v>3171.6</v>
      </c>
      <c r="G27" s="123">
        <v>0.18152742973256</v>
      </c>
      <c r="H27" s="123">
        <v>0.13250767149701825</v>
      </c>
      <c r="I27" s="4">
        <f t="shared" si="0"/>
        <v>17470.241336571155</v>
      </c>
      <c r="J27" s="126" t="str">
        <f t="shared" si="1"/>
        <v>ні</v>
      </c>
      <c r="K27" s="4">
        <v>2314.9409999999998</v>
      </c>
      <c r="L27" s="4">
        <v>3166.087</v>
      </c>
      <c r="M27" s="123">
        <v>0.18122742973255962</v>
      </c>
      <c r="N27" s="123">
        <v>0.13250767149701825</v>
      </c>
      <c r="O27" s="4">
        <f t="shared" si="2"/>
        <v>17470.241336571155</v>
      </c>
      <c r="P27" s="4">
        <v>3418.8989999999999</v>
      </c>
      <c r="Q27" s="4">
        <v>4088.7629999999999</v>
      </c>
      <c r="R27" s="4">
        <v>4720.62</v>
      </c>
      <c r="S27" s="4">
        <v>3761.692</v>
      </c>
      <c r="T27" s="4">
        <v>4443.2160000000003</v>
      </c>
      <c r="U27" s="4">
        <v>5078.57</v>
      </c>
      <c r="V27" s="123">
        <v>0.21256895523001371</v>
      </c>
      <c r="W27" s="123">
        <v>0.24939422582792692</v>
      </c>
      <c r="X27" s="123">
        <v>0.2864865535368657</v>
      </c>
      <c r="Y27" s="123">
        <v>0.19319813706897218</v>
      </c>
      <c r="Z27" s="123">
        <v>0.22949910403493998</v>
      </c>
      <c r="AA27" s="123">
        <v>0.26629428148509232</v>
      </c>
      <c r="AB27" s="4">
        <f t="shared" si="3"/>
        <v>17696.335233188325</v>
      </c>
      <c r="AC27" s="4">
        <f t="shared" si="3"/>
        <v>17816.030337867935</v>
      </c>
      <c r="AD27" s="4">
        <f t="shared" si="3"/>
        <v>17727.079881977374</v>
      </c>
      <c r="AE27" s="4">
        <v>2671.2629999999999</v>
      </c>
      <c r="AF27" s="4">
        <v>2918.0039999999999</v>
      </c>
      <c r="AG27" s="4">
        <v>3320.3330000000001</v>
      </c>
      <c r="AH27" s="4">
        <v>3084.0140000000001</v>
      </c>
      <c r="AI27" s="4">
        <v>3382.056</v>
      </c>
      <c r="AJ27" s="4">
        <v>3804.2069999999999</v>
      </c>
      <c r="AK27" s="123">
        <v>0.16625169035430937</v>
      </c>
      <c r="AL27" s="123">
        <v>0.17836034396480549</v>
      </c>
      <c r="AM27" s="123">
        <v>0.20105724823904192</v>
      </c>
      <c r="AN27" s="123">
        <v>0.14400133016476005</v>
      </c>
      <c r="AO27" s="123">
        <v>0.15388749262194029</v>
      </c>
      <c r="AP27" s="123">
        <v>0.17548389492560126</v>
      </c>
      <c r="AQ27" s="4">
        <f t="shared" si="4"/>
        <v>18550.266146456128</v>
      </c>
      <c r="AR27" s="4">
        <f t="shared" si="4"/>
        <v>18961.930890437874</v>
      </c>
      <c r="AS27" s="4">
        <f t="shared" si="4"/>
        <v>18921.012674169899</v>
      </c>
      <c r="AT27" s="66">
        <v>0.1</v>
      </c>
      <c r="AU27" s="66">
        <v>7.0000000000000007E-2</v>
      </c>
      <c r="AV27" s="97">
        <v>43709</v>
      </c>
      <c r="AW27" s="66">
        <v>0.1</v>
      </c>
      <c r="AX27" s="66">
        <v>7.0000000000000007E-2</v>
      </c>
      <c r="AY27" s="4">
        <v>0</v>
      </c>
      <c r="AZ27" s="4">
        <v>0</v>
      </c>
      <c r="BA27" s="95">
        <f t="shared" si="5"/>
        <v>43709</v>
      </c>
      <c r="BB27" s="4">
        <v>0</v>
      </c>
      <c r="BC27" s="4">
        <v>0</v>
      </c>
      <c r="BD27" s="66">
        <v>0.214</v>
      </c>
      <c r="BE27" s="66">
        <v>0.16800000000000001</v>
      </c>
    </row>
    <row r="28" spans="1:57" x14ac:dyDescent="0.25">
      <c r="A28" s="3">
        <v>19</v>
      </c>
      <c r="B28" s="3">
        <v>3</v>
      </c>
      <c r="C28" s="37" t="str">
        <f>IF($J$1="ENG","Prominvestbank","Промінвестбанк")</f>
        <v>Промінвестбанк</v>
      </c>
      <c r="D28" s="86" t="str">
        <f>IF($J$1="ENG","Banks owned by Russia","Банки з державним російським капіталом")</f>
        <v>Банки з державним російським капіталом</v>
      </c>
      <c r="E28" s="4">
        <v>1267.604</v>
      </c>
      <c r="F28" s="4">
        <v>2029.008</v>
      </c>
      <c r="G28" s="123">
        <v>0.12757528034044124</v>
      </c>
      <c r="H28" s="123">
        <v>7.970145639988814E-2</v>
      </c>
      <c r="I28" s="4">
        <f t="shared" si="0"/>
        <v>15904.40196776353</v>
      </c>
      <c r="J28" s="126" t="str">
        <f t="shared" si="1"/>
        <v>ні</v>
      </c>
      <c r="K28" s="4">
        <v>1267.604</v>
      </c>
      <c r="L28" s="4">
        <v>2029.008</v>
      </c>
      <c r="M28" s="123">
        <v>0.12757528034044124</v>
      </c>
      <c r="N28" s="123">
        <v>7.970145639988814E-2</v>
      </c>
      <c r="O28" s="4">
        <f t="shared" si="2"/>
        <v>15904.40196776353</v>
      </c>
      <c r="P28" s="4">
        <v>-855.43299999999999</v>
      </c>
      <c r="Q28" s="4">
        <v>-2209.7939999999999</v>
      </c>
      <c r="R28" s="4">
        <v>-3581.4050000000002</v>
      </c>
      <c r="S28" s="4">
        <v>-856.61500000000001</v>
      </c>
      <c r="T28" s="4">
        <v>-2210.9769999999999</v>
      </c>
      <c r="U28" s="4">
        <v>-3582.5880000000002</v>
      </c>
      <c r="V28" s="123">
        <v>-5.3971801672013354E-2</v>
      </c>
      <c r="W28" s="123">
        <v>-0.14193657397820869</v>
      </c>
      <c r="X28" s="123">
        <v>-0.24511527490498727</v>
      </c>
      <c r="Y28" s="123">
        <v>-5.3897309806932137E-2</v>
      </c>
      <c r="Z28" s="123">
        <v>-0.14186067466780714</v>
      </c>
      <c r="AA28" s="123">
        <v>-0.24503438371359637</v>
      </c>
      <c r="AB28" s="4">
        <f t="shared" si="3"/>
        <v>15871.534276279895</v>
      </c>
      <c r="AC28" s="4">
        <f t="shared" si="3"/>
        <v>15577.213383304705</v>
      </c>
      <c r="AD28" s="4">
        <f t="shared" si="3"/>
        <v>14615.928367775745</v>
      </c>
      <c r="AE28" s="4">
        <v>-3155.9490000000001</v>
      </c>
      <c r="AF28" s="4">
        <v>-4334.2129999999997</v>
      </c>
      <c r="AG28" s="4">
        <v>-5677.2139999999999</v>
      </c>
      <c r="AH28" s="4">
        <v>-3157.1309999999999</v>
      </c>
      <c r="AI28" s="4">
        <v>-4335.3950000000004</v>
      </c>
      <c r="AJ28" s="4">
        <v>-5678.3959999999997</v>
      </c>
      <c r="AK28" s="123">
        <v>-0.17452564805913839</v>
      </c>
      <c r="AL28" s="123">
        <v>-0.22986494036888977</v>
      </c>
      <c r="AM28" s="123">
        <v>-0.30907518770011472</v>
      </c>
      <c r="AN28" s="123">
        <v>-0.17446029073126496</v>
      </c>
      <c r="AO28" s="123">
        <v>-0.22980225420036202</v>
      </c>
      <c r="AP28" s="123">
        <v>-0.30901083509635302</v>
      </c>
      <c r="AQ28" s="4">
        <f t="shared" si="4"/>
        <v>18089.784138107159</v>
      </c>
      <c r="AR28" s="4">
        <f t="shared" si="4"/>
        <v>18860.620036481661</v>
      </c>
      <c r="AS28" s="4">
        <f t="shared" si="4"/>
        <v>18372.216618973187</v>
      </c>
      <c r="AT28" s="66">
        <v>0.47699999999999998</v>
      </c>
      <c r="AU28" s="66">
        <v>0.47699999999999998</v>
      </c>
      <c r="AV28" s="97">
        <v>43709</v>
      </c>
      <c r="AW28" s="66">
        <v>0.251</v>
      </c>
      <c r="AX28" s="66">
        <v>0.251</v>
      </c>
      <c r="AY28" s="4">
        <v>4604.5209999999997</v>
      </c>
      <c r="AZ28" s="4">
        <v>6320.2420000000002</v>
      </c>
      <c r="BA28" s="95">
        <f t="shared" si="5"/>
        <v>43709</v>
      </c>
      <c r="BB28" s="4">
        <v>2725</v>
      </c>
      <c r="BC28" s="4">
        <v>3961</v>
      </c>
      <c r="BD28" s="66">
        <v>0.33100000000000002</v>
      </c>
      <c r="BE28" s="66">
        <v>0.219</v>
      </c>
    </row>
    <row r="29" spans="1:57" x14ac:dyDescent="0.25">
      <c r="A29" s="3">
        <v>20</v>
      </c>
      <c r="B29" s="3">
        <v>115</v>
      </c>
      <c r="C29" s="37" t="str">
        <f>IF($J$1="ENG","FUIB","ПУМБ")</f>
        <v>ПУМБ</v>
      </c>
      <c r="D29" s="86" t="str">
        <f>IF($J$1="ENG","Private banks","Банки з приватним капіталом")</f>
        <v>Банки з приватним капіталом</v>
      </c>
      <c r="E29" s="4">
        <v>3538.7460000000001</v>
      </c>
      <c r="F29" s="4">
        <v>5304.6289999999999</v>
      </c>
      <c r="G29" s="123">
        <v>0.16108227635859537</v>
      </c>
      <c r="H29" s="123">
        <v>0.10745883738125075</v>
      </c>
      <c r="I29" s="4">
        <f t="shared" si="0"/>
        <v>32931.177055684719</v>
      </c>
      <c r="J29" s="126" t="str">
        <f t="shared" si="1"/>
        <v>ні</v>
      </c>
      <c r="K29" s="4">
        <v>3538.7460000000001</v>
      </c>
      <c r="L29" s="4">
        <v>5298.84</v>
      </c>
      <c r="M29" s="123">
        <v>0.16093478276360001</v>
      </c>
      <c r="N29" s="123">
        <v>0.107477730163931</v>
      </c>
      <c r="O29" s="4">
        <f t="shared" si="2"/>
        <v>32925.388306977715</v>
      </c>
      <c r="P29" s="4">
        <v>5377.2179999999998</v>
      </c>
      <c r="Q29" s="4">
        <v>6951.2370000000001</v>
      </c>
      <c r="R29" s="4">
        <v>8419.9539999999997</v>
      </c>
      <c r="S29" s="4">
        <v>5703.6279999999997</v>
      </c>
      <c r="T29" s="4">
        <v>7277.6480000000001</v>
      </c>
      <c r="U29" s="4">
        <v>8746.3649999999998</v>
      </c>
      <c r="V29" s="123">
        <v>0.17857983963938373</v>
      </c>
      <c r="W29" s="123">
        <v>0.22963192138131636</v>
      </c>
      <c r="X29" s="123">
        <v>0.28055567512095192</v>
      </c>
      <c r="Y29" s="123">
        <v>0.16835997132781516</v>
      </c>
      <c r="Z29" s="123">
        <v>0.21933267804892925</v>
      </c>
      <c r="AA29" s="123">
        <v>0.27008546140255951</v>
      </c>
      <c r="AB29" s="4">
        <f t="shared" si="3"/>
        <v>31938.815132784574</v>
      </c>
      <c r="AC29" s="4">
        <f t="shared" si="3"/>
        <v>31692.664594417169</v>
      </c>
      <c r="AD29" s="4">
        <f t="shared" si="3"/>
        <v>31175.147141482554</v>
      </c>
      <c r="AE29" s="4">
        <v>1444.107</v>
      </c>
      <c r="AF29" s="4">
        <v>1297.011</v>
      </c>
      <c r="AG29" s="4">
        <v>1985.1079999999999</v>
      </c>
      <c r="AH29" s="4">
        <v>1770.518</v>
      </c>
      <c r="AI29" s="4">
        <v>1623.421</v>
      </c>
      <c r="AJ29" s="4">
        <v>2311.5189999999998</v>
      </c>
      <c r="AK29" s="123">
        <v>5.486443623047816E-2</v>
      </c>
      <c r="AL29" s="123">
        <v>5.0269688889598256E-2</v>
      </c>
      <c r="AM29" s="123">
        <v>7.1936384941029677E-2</v>
      </c>
      <c r="AN29" s="123">
        <v>4.4749695242165086E-2</v>
      </c>
      <c r="AO29" s="123">
        <v>4.0162298799228786E-2</v>
      </c>
      <c r="AP29" s="123">
        <v>6.1778220774319832E-2</v>
      </c>
      <c r="AQ29" s="4">
        <f t="shared" si="4"/>
        <v>32270.767257411404</v>
      </c>
      <c r="AR29" s="4">
        <f t="shared" si="4"/>
        <v>32294.242082201374</v>
      </c>
      <c r="AS29" s="4">
        <f t="shared" si="4"/>
        <v>32132.812747258271</v>
      </c>
      <c r="AT29" s="66">
        <v>0.1</v>
      </c>
      <c r="AU29" s="66">
        <v>7.0000000000000007E-2</v>
      </c>
      <c r="AV29" s="97">
        <v>43709</v>
      </c>
      <c r="AW29" s="66">
        <v>0.1</v>
      </c>
      <c r="AX29" s="66">
        <v>7.0000000000000007E-2</v>
      </c>
      <c r="AY29" s="4">
        <v>0</v>
      </c>
      <c r="AZ29" s="4">
        <v>0</v>
      </c>
      <c r="BA29" s="95">
        <f t="shared" si="5"/>
        <v>43709</v>
      </c>
      <c r="BB29" s="4">
        <v>0</v>
      </c>
      <c r="BC29" s="4">
        <v>0</v>
      </c>
      <c r="BD29" s="66">
        <v>0.20300000000000001</v>
      </c>
      <c r="BE29" s="66">
        <v>0.126</v>
      </c>
    </row>
    <row r="30" spans="1:57" x14ac:dyDescent="0.25">
      <c r="A30" s="3">
        <v>21</v>
      </c>
      <c r="B30" s="3">
        <v>36</v>
      </c>
      <c r="C30" s="37" t="str">
        <f>IF($J$1="ENG","Raiffeisen Bank","Райффайзен Банк")</f>
        <v>Райффайзен Банк</v>
      </c>
      <c r="D30" s="86" t="str">
        <f>IF($J$1="ENG","Foreign banks","Банки іноземних банківських груп")</f>
        <v>Банки іноземних банківських груп</v>
      </c>
      <c r="E30" s="4">
        <v>5261.7470000000003</v>
      </c>
      <c r="F30" s="4">
        <v>10395.575000000001</v>
      </c>
      <c r="G30" s="123">
        <v>0.175697730381735</v>
      </c>
      <c r="H30" s="123">
        <v>8.8929856591980896E-2</v>
      </c>
      <c r="I30" s="4">
        <f t="shared" si="0"/>
        <v>59167.384291885493</v>
      </c>
      <c r="J30" s="126" t="str">
        <f t="shared" si="1"/>
        <v>ні</v>
      </c>
      <c r="K30" s="4">
        <v>5261.7460000000001</v>
      </c>
      <c r="L30" s="4">
        <v>10397.271000000001</v>
      </c>
      <c r="M30" s="123">
        <v>0.17573730722264375</v>
      </c>
      <c r="N30" s="123">
        <v>8.8935366496426152E-2</v>
      </c>
      <c r="O30" s="4">
        <f t="shared" si="2"/>
        <v>59163.707389809228</v>
      </c>
      <c r="P30" s="4">
        <v>10245.772999999999</v>
      </c>
      <c r="Q30" s="4">
        <v>13871.793</v>
      </c>
      <c r="R30" s="4">
        <v>17154.241000000002</v>
      </c>
      <c r="S30" s="4">
        <v>10603.231</v>
      </c>
      <c r="T30" s="4">
        <v>14229.252</v>
      </c>
      <c r="U30" s="4">
        <v>17511.7</v>
      </c>
      <c r="V30" s="123">
        <v>0.17706919413980229</v>
      </c>
      <c r="W30" s="123">
        <v>0.2374071036447119</v>
      </c>
      <c r="X30" s="123">
        <v>0.29578631489896096</v>
      </c>
      <c r="Y30" s="123">
        <v>0.17109979285696206</v>
      </c>
      <c r="Z30" s="123">
        <v>0.2314431033636721</v>
      </c>
      <c r="AA30" s="123">
        <v>0.28974855578927344</v>
      </c>
      <c r="AB30" s="4">
        <f t="shared" si="3"/>
        <v>59881.855079540488</v>
      </c>
      <c r="AC30" s="4">
        <f t="shared" si="3"/>
        <v>59936.082771077083</v>
      </c>
      <c r="AD30" s="4">
        <f t="shared" si="3"/>
        <v>59203.887844313649</v>
      </c>
      <c r="AE30" s="4">
        <v>8107.6540000000005</v>
      </c>
      <c r="AF30" s="4">
        <v>10076.134</v>
      </c>
      <c r="AG30" s="4">
        <v>12549.359</v>
      </c>
      <c r="AH30" s="4">
        <v>8465.1129999999994</v>
      </c>
      <c r="AI30" s="4">
        <v>10433.592000000001</v>
      </c>
      <c r="AJ30" s="4">
        <v>12906.816999999999</v>
      </c>
      <c r="AK30" s="123">
        <v>0.13537632550698375</v>
      </c>
      <c r="AL30" s="123">
        <v>0.164454458939465</v>
      </c>
      <c r="AM30" s="123">
        <v>0.20443069747780696</v>
      </c>
      <c r="AN30" s="123">
        <v>0.12965974971743061</v>
      </c>
      <c r="AO30" s="123">
        <v>0.15882018717575197</v>
      </c>
      <c r="AP30" s="123">
        <v>0.19876891800755381</v>
      </c>
      <c r="AQ30" s="4">
        <f t="shared" si="4"/>
        <v>62530.230219240198</v>
      </c>
      <c r="AR30" s="4">
        <f t="shared" si="4"/>
        <v>63443.660275060953</v>
      </c>
      <c r="AS30" s="4">
        <f t="shared" si="4"/>
        <v>63135.419389479634</v>
      </c>
      <c r="AT30" s="66">
        <v>0.1</v>
      </c>
      <c r="AU30" s="66">
        <v>7.0000000000000007E-2</v>
      </c>
      <c r="AV30" s="97">
        <v>43709</v>
      </c>
      <c r="AW30" s="66">
        <v>0.1</v>
      </c>
      <c r="AX30" s="66">
        <v>7.0000000000000007E-2</v>
      </c>
      <c r="AY30" s="4">
        <v>0</v>
      </c>
      <c r="AZ30" s="4">
        <v>0</v>
      </c>
      <c r="BA30" s="95">
        <f t="shared" si="5"/>
        <v>43709</v>
      </c>
      <c r="BB30" s="4">
        <v>0</v>
      </c>
      <c r="BC30" s="4">
        <v>0</v>
      </c>
      <c r="BD30" s="66">
        <v>0.19400000000000001</v>
      </c>
      <c r="BE30" s="66">
        <v>0.122</v>
      </c>
    </row>
    <row r="31" spans="1:57" x14ac:dyDescent="0.25">
      <c r="A31" s="3">
        <v>22</v>
      </c>
      <c r="B31" s="3">
        <v>299</v>
      </c>
      <c r="C31" s="37" t="str">
        <f>IF($J$1="ENG","International Reserve Bank (Sberbank)","Міжнародний резервний банк (Сбербанк)")</f>
        <v>Міжнародний резервний банк (Сбербанк)</v>
      </c>
      <c r="D31" s="86" t="str">
        <f>IF($J$1="ENG","Banks owned by Russia","Банки з державним російським капіталом")</f>
        <v>Банки з державним російським капіталом</v>
      </c>
      <c r="E31" s="4">
        <v>4319.1620000000003</v>
      </c>
      <c r="F31" s="4">
        <v>4427.6450000000004</v>
      </c>
      <c r="G31" s="123">
        <v>0.19529725301188808</v>
      </c>
      <c r="H31" s="123">
        <v>0.19051220630830826</v>
      </c>
      <c r="I31" s="4">
        <f t="shared" si="0"/>
        <v>22671.313737295379</v>
      </c>
      <c r="J31" s="126" t="str">
        <f t="shared" si="1"/>
        <v>ні</v>
      </c>
      <c r="K31" s="4">
        <v>4319.1620000000003</v>
      </c>
      <c r="L31" s="4">
        <v>4427.6450000000004</v>
      </c>
      <c r="M31" s="123">
        <v>0.19529725301188808</v>
      </c>
      <c r="N31" s="123">
        <v>0.19051220630830826</v>
      </c>
      <c r="O31" s="4">
        <f t="shared" si="2"/>
        <v>22671.313737295379</v>
      </c>
      <c r="P31" s="4">
        <v>3505.2719999999999</v>
      </c>
      <c r="Q31" s="4">
        <v>2250.4920000000002</v>
      </c>
      <c r="R31" s="4">
        <v>321.79300000000001</v>
      </c>
      <c r="S31" s="4">
        <v>3613.7550000000001</v>
      </c>
      <c r="T31" s="4">
        <v>2358.9749999999999</v>
      </c>
      <c r="U31" s="4">
        <v>430.27600000000001</v>
      </c>
      <c r="V31" s="123">
        <v>0.15791116902267743</v>
      </c>
      <c r="W31" s="123">
        <v>0.10976463309552284</v>
      </c>
      <c r="X31" s="123">
        <v>2.300399558869605E-2</v>
      </c>
      <c r="Y31" s="123">
        <v>0.15317074711410564</v>
      </c>
      <c r="Z31" s="123">
        <v>0.10471683508375972</v>
      </c>
      <c r="AA31" s="123">
        <v>1.720411397656697E-2</v>
      </c>
      <c r="AB31" s="4">
        <f t="shared" si="3"/>
        <v>22884.735277740223</v>
      </c>
      <c r="AC31" s="4">
        <f t="shared" si="3"/>
        <v>21491.214838568241</v>
      </c>
      <c r="AD31" s="4">
        <f t="shared" si="3"/>
        <v>18704.421537679958</v>
      </c>
      <c r="AE31" s="4">
        <v>-230.06800000000001</v>
      </c>
      <c r="AF31" s="4">
        <v>-1714.5139999999999</v>
      </c>
      <c r="AG31" s="4">
        <v>-3691.248</v>
      </c>
      <c r="AH31" s="4">
        <v>-230.178</v>
      </c>
      <c r="AI31" s="4">
        <v>-1714.624</v>
      </c>
      <c r="AJ31" s="4">
        <v>-3691.3580000000002</v>
      </c>
      <c r="AK31" s="123">
        <v>-9.0426529015326107E-3</v>
      </c>
      <c r="AL31" s="123">
        <v>-6.7892305423965668E-2</v>
      </c>
      <c r="AM31" s="123">
        <v>-0.16264878606004071</v>
      </c>
      <c r="AN31" s="123">
        <v>-9.0383315047812256E-3</v>
      </c>
      <c r="AO31" s="123">
        <v>-6.7887949860802932E-2</v>
      </c>
      <c r="AP31" s="123">
        <v>-0.16264393923494699</v>
      </c>
      <c r="AQ31" s="4">
        <f t="shared" si="4"/>
        <v>25454.698124127815</v>
      </c>
      <c r="AR31" s="4">
        <f t="shared" si="4"/>
        <v>25255.056361481376</v>
      </c>
      <c r="AS31" s="4">
        <f t="shared" si="4"/>
        <v>22695.26929415928</v>
      </c>
      <c r="AT31" s="66">
        <v>0.40799999999999997</v>
      </c>
      <c r="AU31" s="66">
        <v>0.38800000000000001</v>
      </c>
      <c r="AV31" s="97">
        <v>43709</v>
      </c>
      <c r="AW31" s="66">
        <v>0.1</v>
      </c>
      <c r="AX31" s="66">
        <v>7.0000000000000007E-2</v>
      </c>
      <c r="AY31" s="4">
        <v>1440.164</v>
      </c>
      <c r="AZ31" s="4">
        <v>4758.92</v>
      </c>
      <c r="BA31" s="95">
        <f t="shared" si="5"/>
        <v>43709</v>
      </c>
      <c r="BB31" s="4">
        <v>0</v>
      </c>
      <c r="BC31" s="4">
        <v>0</v>
      </c>
      <c r="BD31" s="66">
        <v>0.54500000000000004</v>
      </c>
      <c r="BE31" s="66">
        <v>0.51600000000000001</v>
      </c>
    </row>
    <row r="32" spans="1:57" x14ac:dyDescent="0.25">
      <c r="A32" s="3">
        <v>23</v>
      </c>
      <c r="B32" s="3">
        <v>62</v>
      </c>
      <c r="C32" s="37" t="str">
        <f>IF($J$1="ENG","Taskombank","Таскомбанк")</f>
        <v>Таскомбанк</v>
      </c>
      <c r="D32" s="86" t="str">
        <f>IF($J$1="ENG","Private banks","Банки з приватним капіталом")</f>
        <v>Банки з приватним капіталом</v>
      </c>
      <c r="E32" s="4">
        <v>1253.7860000000001</v>
      </c>
      <c r="F32" s="4">
        <v>2236.6089999999999</v>
      </c>
      <c r="G32" s="123">
        <v>0.15579999999999999</v>
      </c>
      <c r="H32" s="123">
        <v>8.7378513301900898E-2</v>
      </c>
      <c r="I32" s="4">
        <f t="shared" si="0"/>
        <v>14348.905155527798</v>
      </c>
      <c r="J32" s="126" t="str">
        <f t="shared" si="1"/>
        <v>ні</v>
      </c>
      <c r="K32" s="4">
        <v>1253.7860000000001</v>
      </c>
      <c r="L32" s="4">
        <v>2232.1019999999999</v>
      </c>
      <c r="M32" s="123">
        <v>0.15555910482948632</v>
      </c>
      <c r="N32" s="123">
        <v>8.7378513301900898E-2</v>
      </c>
      <c r="O32" s="4">
        <f t="shared" si="2"/>
        <v>14348.905155527798</v>
      </c>
      <c r="P32" s="4">
        <v>2122.6260000000002</v>
      </c>
      <c r="Q32" s="4">
        <v>2402.4780000000001</v>
      </c>
      <c r="R32" s="4">
        <v>2629.2350000000001</v>
      </c>
      <c r="S32" s="4">
        <v>2494.4380000000001</v>
      </c>
      <c r="T32" s="4">
        <v>2784.47</v>
      </c>
      <c r="U32" s="4">
        <v>3014.2809999999999</v>
      </c>
      <c r="V32" s="123">
        <v>0.17013128559582094</v>
      </c>
      <c r="W32" s="123">
        <v>0.18850668498682679</v>
      </c>
      <c r="X32" s="123">
        <v>0.20582840557818285</v>
      </c>
      <c r="Y32" s="123">
        <v>0.14477208286667728</v>
      </c>
      <c r="Z32" s="123">
        <v>0.16264608042914014</v>
      </c>
      <c r="AA32" s="123">
        <v>0.17953576241991373</v>
      </c>
      <c r="AB32" s="4">
        <f t="shared" si="3"/>
        <v>14661.846109893697</v>
      </c>
      <c r="AC32" s="4">
        <f t="shared" si="3"/>
        <v>14771.201332740909</v>
      </c>
      <c r="AD32" s="4">
        <f t="shared" si="3"/>
        <v>14644.631044875163</v>
      </c>
      <c r="AE32" s="4">
        <v>1000.357</v>
      </c>
      <c r="AF32" s="4">
        <v>530.28300000000002</v>
      </c>
      <c r="AG32" s="4">
        <v>452.15100000000001</v>
      </c>
      <c r="AH32" s="4">
        <v>1433.2470000000001</v>
      </c>
      <c r="AI32" s="4">
        <v>1007.963</v>
      </c>
      <c r="AJ32" s="4">
        <v>904.30200000000002</v>
      </c>
      <c r="AK32" s="123">
        <v>9.2106159047664879E-2</v>
      </c>
      <c r="AL32" s="123">
        <v>6.2942690534009013E-2</v>
      </c>
      <c r="AM32" s="123">
        <v>5.6190965771356051E-2</v>
      </c>
      <c r="AN32" s="123">
        <v>6.4286932685300585E-2</v>
      </c>
      <c r="AO32" s="123">
        <v>3.3113752129961919E-2</v>
      </c>
      <c r="AP32" s="123">
        <v>2.8095482885678025E-2</v>
      </c>
      <c r="AQ32" s="4">
        <f t="shared" si="4"/>
        <v>15560.813966610898</v>
      </c>
      <c r="AR32" s="4">
        <f t="shared" si="4"/>
        <v>16013.981077070104</v>
      </c>
      <c r="AS32" s="4">
        <f t="shared" si="4"/>
        <v>16093.369949889306</v>
      </c>
      <c r="AT32" s="66">
        <v>0.13900000000000001</v>
      </c>
      <c r="AU32" s="66">
        <v>0.13900000000000001</v>
      </c>
      <c r="AV32" s="97">
        <v>43709</v>
      </c>
      <c r="AW32" s="66">
        <v>0.1</v>
      </c>
      <c r="AX32" s="66">
        <v>7.0000000000000007E-2</v>
      </c>
      <c r="AY32" s="4">
        <v>0</v>
      </c>
      <c r="AZ32" s="4">
        <v>111.117</v>
      </c>
      <c r="BA32" s="95">
        <f t="shared" si="5"/>
        <v>43709</v>
      </c>
      <c r="BB32" s="4">
        <v>0</v>
      </c>
      <c r="BC32" s="4">
        <v>0</v>
      </c>
      <c r="BD32" s="66">
        <v>0.16200000000000001</v>
      </c>
      <c r="BE32" s="66">
        <v>9.0999999999999998E-2</v>
      </c>
    </row>
    <row r="33" spans="1:57" x14ac:dyDescent="0.25">
      <c r="A33" s="3">
        <v>24</v>
      </c>
      <c r="B33" s="3">
        <v>274</v>
      </c>
      <c r="C33" s="37" t="str">
        <f>IF($J$1="ENG","Ukrgasbank","Укргазбанк")</f>
        <v>Укргазбанк</v>
      </c>
      <c r="D33" s="86" t="str">
        <f>IF($J$1="ENG","State-owned banks","Банки з державною часткою")</f>
        <v>Банки з державною часткою</v>
      </c>
      <c r="E33" s="4">
        <v>6229.2920000000004</v>
      </c>
      <c r="F33" s="4">
        <v>6638.7579999999998</v>
      </c>
      <c r="G33" s="123">
        <v>0.14065855139648742</v>
      </c>
      <c r="H33" s="123">
        <v>0.13198300575941255</v>
      </c>
      <c r="I33" s="4">
        <f t="shared" si="0"/>
        <v>47197.682490692554</v>
      </c>
      <c r="J33" s="126" t="str">
        <f t="shared" si="1"/>
        <v>ні</v>
      </c>
      <c r="K33" s="4">
        <v>6229.2920000000004</v>
      </c>
      <c r="L33" s="4">
        <v>6638.7579999999998</v>
      </c>
      <c r="M33" s="123">
        <v>0.14065855139648742</v>
      </c>
      <c r="N33" s="123">
        <v>0.13198300575941255</v>
      </c>
      <c r="O33" s="4">
        <f t="shared" si="2"/>
        <v>47197.682490692554</v>
      </c>
      <c r="P33" s="4">
        <v>9169.5470000000005</v>
      </c>
      <c r="Q33" s="4">
        <v>11309.554</v>
      </c>
      <c r="R33" s="4">
        <v>13119.414000000001</v>
      </c>
      <c r="S33" s="4">
        <v>8987.9940000000006</v>
      </c>
      <c r="T33" s="4">
        <v>11128.001</v>
      </c>
      <c r="U33" s="4">
        <v>12937.861000000001</v>
      </c>
      <c r="V33" s="123">
        <v>0.18492702076372727</v>
      </c>
      <c r="W33" s="123">
        <v>0.2266631357150283</v>
      </c>
      <c r="X33" s="123">
        <v>0.26538007648003109</v>
      </c>
      <c r="Y33" s="123">
        <v>0.18866244306552332</v>
      </c>
      <c r="Z33" s="123">
        <v>0.23036112663617311</v>
      </c>
      <c r="AA33" s="123">
        <v>0.26910406158197403</v>
      </c>
      <c r="AB33" s="4">
        <f t="shared" si="3"/>
        <v>48602.927275861548</v>
      </c>
      <c r="AC33" s="4">
        <f t="shared" si="3"/>
        <v>49094.889251266948</v>
      </c>
      <c r="AD33" s="4">
        <f t="shared" si="3"/>
        <v>48752.196168557595</v>
      </c>
      <c r="AE33" s="4">
        <v>6521.0050000000001</v>
      </c>
      <c r="AF33" s="4">
        <v>6658.4359999999997</v>
      </c>
      <c r="AG33" s="4">
        <v>7841.0780000000004</v>
      </c>
      <c r="AH33" s="4">
        <v>6339.4530000000004</v>
      </c>
      <c r="AI33" s="4">
        <v>6476.884</v>
      </c>
      <c r="AJ33" s="4">
        <v>7659.5249999999996</v>
      </c>
      <c r="AK33" s="123">
        <v>0.12163871734318389</v>
      </c>
      <c r="AL33" s="123">
        <v>0.12040227605442187</v>
      </c>
      <c r="AM33" s="123">
        <v>0.14188630645988748</v>
      </c>
      <c r="AN33" s="123">
        <v>0.12512226842989535</v>
      </c>
      <c r="AO33" s="123">
        <v>0.1237772523076912</v>
      </c>
      <c r="AP33" s="123">
        <v>0.14524941401846503</v>
      </c>
      <c r="AQ33" s="4">
        <f t="shared" si="4"/>
        <v>52117.061829434853</v>
      </c>
      <c r="AR33" s="4">
        <f t="shared" si="4"/>
        <v>53793.696950455429</v>
      </c>
      <c r="AS33" s="4">
        <f t="shared" si="4"/>
        <v>53983.543086811987</v>
      </c>
      <c r="AT33" s="66">
        <v>0.1</v>
      </c>
      <c r="AU33" s="66">
        <v>7.0000000000000007E-2</v>
      </c>
      <c r="AV33" s="97">
        <v>43709</v>
      </c>
      <c r="AW33" s="66">
        <v>0.1</v>
      </c>
      <c r="AX33" s="66">
        <v>7.0000000000000007E-2</v>
      </c>
      <c r="AY33" s="4">
        <v>0</v>
      </c>
      <c r="AZ33" s="4">
        <v>0</v>
      </c>
      <c r="BA33" s="95">
        <f t="shared" si="5"/>
        <v>43709</v>
      </c>
      <c r="BB33" s="4">
        <v>0</v>
      </c>
      <c r="BC33" s="4">
        <v>0</v>
      </c>
      <c r="BD33" s="66">
        <v>0.14499999999999999</v>
      </c>
      <c r="BE33" s="66">
        <v>0.14199999999999999</v>
      </c>
    </row>
    <row r="34" spans="1:57" x14ac:dyDescent="0.25">
      <c r="A34" s="3">
        <v>25</v>
      </c>
      <c r="B34" s="3">
        <v>2</v>
      </c>
      <c r="C34" s="37" t="str">
        <f>IF($J$1="ENG","Ukreximbank","Укрексімбанк")</f>
        <v>Укрексімбанк</v>
      </c>
      <c r="D34" s="86" t="str">
        <f>IF($J$1="ENG","State-owned banks","Банки з державною часткою")</f>
        <v>Банки з державною часткою</v>
      </c>
      <c r="E34" s="4">
        <v>7266.8019999999997</v>
      </c>
      <c r="F34" s="4">
        <v>11147.236999999999</v>
      </c>
      <c r="G34" s="123">
        <v>0.1275</v>
      </c>
      <c r="H34" s="123">
        <v>8.3099999999999993E-2</v>
      </c>
      <c r="I34" s="4">
        <f t="shared" si="0"/>
        <v>87446.474127557158</v>
      </c>
      <c r="J34" s="126" t="str">
        <f t="shared" si="1"/>
        <v>ні</v>
      </c>
      <c r="K34" s="4">
        <v>7243.9549999999999</v>
      </c>
      <c r="L34" s="4">
        <v>11036.553</v>
      </c>
      <c r="M34" s="123">
        <v>0.12685617113334924</v>
      </c>
      <c r="N34" s="123">
        <v>8.3263358717518776E-2</v>
      </c>
      <c r="O34" s="4">
        <f t="shared" si="2"/>
        <v>87000.513930455432</v>
      </c>
      <c r="P34" s="4">
        <v>1807.6189999999999</v>
      </c>
      <c r="Q34" s="4">
        <v>414.233</v>
      </c>
      <c r="R34" s="4">
        <v>-2912.252</v>
      </c>
      <c r="S34" s="4">
        <v>3610.39</v>
      </c>
      <c r="T34" s="4">
        <v>823.61599999999999</v>
      </c>
      <c r="U34" s="4">
        <v>-2917.1010000000001</v>
      </c>
      <c r="V34" s="123">
        <v>4.1460807259374954E-2</v>
      </c>
      <c r="W34" s="123">
        <v>9.5222003128768561E-3</v>
      </c>
      <c r="X34" s="123">
        <v>-3.5696943332663496E-2</v>
      </c>
      <c r="Y34" s="123">
        <v>2.0758247080209933E-2</v>
      </c>
      <c r="Z34" s="123">
        <v>4.7891320066387535E-3</v>
      </c>
      <c r="AA34" s="123">
        <v>-3.5637603152037026E-2</v>
      </c>
      <c r="AB34" s="4">
        <f t="shared" si="3"/>
        <v>87079.558934593777</v>
      </c>
      <c r="AC34" s="4">
        <f t="shared" si="3"/>
        <v>86494.379237361834</v>
      </c>
      <c r="AD34" s="4">
        <f t="shared" si="3"/>
        <v>81718.514782707469</v>
      </c>
      <c r="AE34" s="4">
        <v>-6527.2340000000004</v>
      </c>
      <c r="AF34" s="4">
        <v>-9047.24</v>
      </c>
      <c r="AG34" s="4">
        <v>-14001.2</v>
      </c>
      <c r="AH34" s="4">
        <v>-6532.0829999999996</v>
      </c>
      <c r="AI34" s="4">
        <v>-9052.0889999999999</v>
      </c>
      <c r="AJ34" s="4">
        <v>-14006.049000000001</v>
      </c>
      <c r="AK34" s="123">
        <v>-6.6280686143532538E-2</v>
      </c>
      <c r="AL34" s="123">
        <v>-8.6985643832312762E-2</v>
      </c>
      <c r="AM34" s="123">
        <v>-0.13892485288753553</v>
      </c>
      <c r="AN34" s="123">
        <v>-6.6231481658947267E-2</v>
      </c>
      <c r="AO34" s="123">
        <v>-8.6939045740186127E-2</v>
      </c>
      <c r="AP34" s="123">
        <v>-0.13887675415005457</v>
      </c>
      <c r="AQ34" s="4">
        <f t="shared" si="4"/>
        <v>98551.834210977991</v>
      </c>
      <c r="AR34" s="4">
        <f t="shared" si="4"/>
        <v>104064.1741920807</v>
      </c>
      <c r="AS34" s="4">
        <f t="shared" si="4"/>
        <v>100817.44843252804</v>
      </c>
      <c r="AT34" s="66">
        <v>0.28599999999999998</v>
      </c>
      <c r="AU34" s="66">
        <v>0.27300000000000002</v>
      </c>
      <c r="AV34" s="97">
        <v>43709</v>
      </c>
      <c r="AW34" s="66">
        <v>0.22</v>
      </c>
      <c r="AX34" s="66">
        <v>0.21199999999999999</v>
      </c>
      <c r="AY34" s="4">
        <v>9775.9439999999995</v>
      </c>
      <c r="AZ34" s="4">
        <v>17529.811000000002</v>
      </c>
      <c r="BA34" s="95">
        <f t="shared" si="5"/>
        <v>43709</v>
      </c>
      <c r="BB34" s="4">
        <v>3671</v>
      </c>
      <c r="BC34" s="4">
        <v>12188</v>
      </c>
      <c r="BD34" s="66">
        <v>0.153</v>
      </c>
      <c r="BE34" s="66">
        <v>9.7000000000000003E-2</v>
      </c>
    </row>
    <row r="35" spans="1:57" x14ac:dyDescent="0.25">
      <c r="A35" s="3">
        <v>26</v>
      </c>
      <c r="B35" s="3">
        <v>136</v>
      </c>
      <c r="C35" s="37" t="str">
        <f>IF($J$1="ENG","Ukrsibbank","УкрСиббанк")</f>
        <v>УкрСиббанк</v>
      </c>
      <c r="D35" s="86" t="str">
        <f>IF($J$1="ENG","Foreign banks","Банки іноземних банківських груп")</f>
        <v>Банки іноземних банківських груп</v>
      </c>
      <c r="E35" s="4">
        <v>3583.6550000000002</v>
      </c>
      <c r="F35" s="4">
        <v>6153.4430000000002</v>
      </c>
      <c r="G35" s="123">
        <v>0.19663927526469593</v>
      </c>
      <c r="H35" s="123">
        <v>0.11452937094680737</v>
      </c>
      <c r="I35" s="4">
        <f t="shared" si="0"/>
        <v>31290.270525142514</v>
      </c>
      <c r="J35" s="126" t="str">
        <f t="shared" si="1"/>
        <v>ні</v>
      </c>
      <c r="K35" s="4">
        <v>3583.6550000000002</v>
      </c>
      <c r="L35" s="4">
        <v>6153.3580000000002</v>
      </c>
      <c r="M35" s="123">
        <v>0.19682002245194644</v>
      </c>
      <c r="N35" s="123">
        <v>0.11462603596151118</v>
      </c>
      <c r="O35" s="4">
        <f t="shared" si="2"/>
        <v>31263.883200177228</v>
      </c>
      <c r="P35" s="4">
        <v>5048.2749999999996</v>
      </c>
      <c r="Q35" s="4">
        <v>6720.1779999999999</v>
      </c>
      <c r="R35" s="4">
        <v>8267.8330000000005</v>
      </c>
      <c r="S35" s="4">
        <v>5188.8609999999999</v>
      </c>
      <c r="T35" s="4">
        <v>6545.7740000000003</v>
      </c>
      <c r="U35" s="4">
        <v>8093.4290000000001</v>
      </c>
      <c r="V35" s="123">
        <v>0.16246301939148097</v>
      </c>
      <c r="W35" s="123">
        <v>0.20394587887040341</v>
      </c>
      <c r="X35" s="123">
        <v>0.25373950459738309</v>
      </c>
      <c r="Y35" s="123">
        <v>0.15806127891689675</v>
      </c>
      <c r="Z35" s="123">
        <v>0.20937975230178069</v>
      </c>
      <c r="AA35" s="123">
        <v>0.25920728565762952</v>
      </c>
      <c r="AB35" s="4">
        <f t="shared" si="3"/>
        <v>31938.720441799102</v>
      </c>
      <c r="AC35" s="4">
        <f t="shared" si="3"/>
        <v>32095.644044483128</v>
      </c>
      <c r="AD35" s="4">
        <f t="shared" si="3"/>
        <v>31896.607300307358</v>
      </c>
      <c r="AE35" s="4">
        <v>3663.944</v>
      </c>
      <c r="AF35" s="4">
        <v>4356.3310000000001</v>
      </c>
      <c r="AG35" s="4">
        <v>5331.8130000000001</v>
      </c>
      <c r="AH35" s="4">
        <v>3868.8130000000001</v>
      </c>
      <c r="AI35" s="4">
        <v>4181.9269999999997</v>
      </c>
      <c r="AJ35" s="4">
        <v>5157.4089999999997</v>
      </c>
      <c r="AK35" s="123">
        <v>0.11575010818097689</v>
      </c>
      <c r="AL35" s="123">
        <v>0.12255541481703025</v>
      </c>
      <c r="AM35" s="123">
        <v>0.15082778289613016</v>
      </c>
      <c r="AN35" s="123">
        <v>0.10962066411773205</v>
      </c>
      <c r="AO35" s="123">
        <v>0.12766648256277535</v>
      </c>
      <c r="AP35" s="123">
        <v>0.15592819596501781</v>
      </c>
      <c r="AQ35" s="4">
        <f t="shared" si="4"/>
        <v>33423.84421303033</v>
      </c>
      <c r="AR35" s="4">
        <f t="shared" si="4"/>
        <v>34122.746335224932</v>
      </c>
      <c r="AS35" s="4">
        <f t="shared" si="4"/>
        <v>34194.027366264032</v>
      </c>
      <c r="AT35" s="66">
        <v>0.1</v>
      </c>
      <c r="AU35" s="66">
        <v>7.0000000000000007E-2</v>
      </c>
      <c r="AV35" s="97">
        <v>43709</v>
      </c>
      <c r="AW35" s="66">
        <v>0.1</v>
      </c>
      <c r="AX35" s="66">
        <v>7.0000000000000007E-2</v>
      </c>
      <c r="AY35" s="4">
        <v>0</v>
      </c>
      <c r="AZ35" s="4">
        <v>0</v>
      </c>
      <c r="BA35" s="95">
        <f t="shared" si="5"/>
        <v>43709</v>
      </c>
      <c r="BB35" s="4">
        <v>0</v>
      </c>
      <c r="BC35" s="4">
        <v>0</v>
      </c>
      <c r="BD35" s="66">
        <v>0.22</v>
      </c>
      <c r="BE35" s="66">
        <v>0.129</v>
      </c>
    </row>
    <row r="36" spans="1:57" x14ac:dyDescent="0.25">
      <c r="A36" s="3">
        <v>27</v>
      </c>
      <c r="B36" s="86">
        <v>5</v>
      </c>
      <c r="C36" s="87" t="str">
        <f>IF($J$1="ENG","Ukrsotsbank**","Укрсоцбанк**")</f>
        <v>Укрсоцбанк**</v>
      </c>
      <c r="D36" s="86" t="str">
        <f>IF($J$1="ENG","Foreign banks","Банки іноземних банківських груп")</f>
        <v>Банки іноземних банківських груп</v>
      </c>
      <c r="E36" s="4">
        <v>2188.9690000000001</v>
      </c>
      <c r="F36" s="4">
        <v>2214.777</v>
      </c>
      <c r="G36" s="123">
        <v>0.16638000000000003</v>
      </c>
      <c r="H36" s="123">
        <v>0.164436</v>
      </c>
      <c r="I36" s="4">
        <f t="shared" si="0"/>
        <v>13311.981561215305</v>
      </c>
      <c r="J36" s="89" t="str">
        <f t="shared" si="1"/>
        <v>ні</v>
      </c>
      <c r="K36" s="4">
        <v>2188.9690000000001</v>
      </c>
      <c r="L36" s="4">
        <v>2214.7779999999998</v>
      </c>
      <c r="M36" s="123">
        <v>0.1663752073388913</v>
      </c>
      <c r="N36" s="123">
        <v>0.16443648239845809</v>
      </c>
      <c r="O36" s="4">
        <f t="shared" si="2"/>
        <v>13311.942508571479</v>
      </c>
      <c r="P36" s="4">
        <v>1078.732</v>
      </c>
      <c r="Q36" s="4">
        <v>469.38200000000001</v>
      </c>
      <c r="R36" s="4">
        <v>-296.52600000000001</v>
      </c>
      <c r="S36" s="4">
        <v>1703.943</v>
      </c>
      <c r="T36" s="4">
        <v>930.09299999999996</v>
      </c>
      <c r="U36" s="4">
        <v>-305.19799999999998</v>
      </c>
      <c r="V36" s="123">
        <v>0.12532306029950727</v>
      </c>
      <c r="W36" s="123">
        <v>6.9960997606085901E-2</v>
      </c>
      <c r="X36" s="123">
        <v>-2.4418521222683884E-2</v>
      </c>
      <c r="Y36" s="123">
        <v>7.9339515397003194E-2</v>
      </c>
      <c r="Z36" s="123">
        <v>3.5306640683965204E-2</v>
      </c>
      <c r="AA36" s="123">
        <v>-2.3724703565662138E-2</v>
      </c>
      <c r="AB36" s="88">
        <f t="shared" si="3"/>
        <v>13596.402682852104</v>
      </c>
      <c r="AC36" s="88">
        <f t="shared" si="3"/>
        <v>13294.439541884074</v>
      </c>
      <c r="AD36" s="88">
        <f t="shared" si="3"/>
        <v>12498.617703665466</v>
      </c>
      <c r="AE36" s="4">
        <v>-2898.5839999999998</v>
      </c>
      <c r="AF36" s="4">
        <v>-3573.723</v>
      </c>
      <c r="AG36" s="4">
        <v>-4319.3779999999997</v>
      </c>
      <c r="AH36" s="4">
        <v>-2907.2559999999999</v>
      </c>
      <c r="AI36" s="4">
        <v>-3582.395</v>
      </c>
      <c r="AJ36" s="4">
        <v>-4328.05</v>
      </c>
      <c r="AK36" s="123">
        <v>-0.2455494843415246</v>
      </c>
      <c r="AL36" s="124">
        <v>-0.30448108454658313</v>
      </c>
      <c r="AM36" s="123">
        <v>-0.38880738247329993</v>
      </c>
      <c r="AN36" s="123">
        <v>-0.24481705993003711</v>
      </c>
      <c r="AO36" s="123">
        <v>-0.30374403983272397</v>
      </c>
      <c r="AP36" s="123">
        <v>-0.38802836133708007</v>
      </c>
      <c r="AQ36" s="88">
        <f t="shared" si="4"/>
        <v>11839.795808463456</v>
      </c>
      <c r="AR36" s="88">
        <f t="shared" si="4"/>
        <v>11765.57407338132</v>
      </c>
      <c r="AS36" s="88">
        <f t="shared" si="4"/>
        <v>11131.603847502678</v>
      </c>
      <c r="AT36" s="66">
        <v>0.53</v>
      </c>
      <c r="AU36" s="66">
        <v>0.51800000000000002</v>
      </c>
      <c r="AV36" s="97">
        <v>43709</v>
      </c>
      <c r="AW36" s="87" t="str">
        <f>IF($J$1="ENG","Merged with Alfa-Bank","Приєднано до Альфа-Банку")</f>
        <v>Приєднано до Альфа-Банку</v>
      </c>
      <c r="AX36" s="87"/>
      <c r="AY36" s="4">
        <v>1171.4280000000001</v>
      </c>
      <c r="AZ36" s="4">
        <v>4860.7730000000001</v>
      </c>
      <c r="BA36" s="95">
        <f t="shared" si="5"/>
        <v>43709</v>
      </c>
      <c r="BB36" s="87" t="str">
        <f>IF($J$1="ENG","Merged with Alfa-Bank","Приєднано до Альфа-Банку")</f>
        <v>Приєднано до Альфа-Банку</v>
      </c>
      <c r="BC36" s="4"/>
      <c r="BD36" s="96" t="s">
        <v>3</v>
      </c>
      <c r="BE36" s="96" t="s">
        <v>3</v>
      </c>
    </row>
    <row r="37" spans="1:57" x14ac:dyDescent="0.25">
      <c r="A37" s="3">
        <v>28</v>
      </c>
      <c r="B37" s="3">
        <v>242</v>
      </c>
      <c r="C37" s="37" t="str">
        <f>IF($J$1="ENG","Universal","Універсал")</f>
        <v>Універсал</v>
      </c>
      <c r="D37" s="86" t="str">
        <f>IF($J$1="ENG","Private banks","Банки з приватним капіталом")</f>
        <v>Банки з приватним капіталом</v>
      </c>
      <c r="E37" s="4">
        <v>724</v>
      </c>
      <c r="F37" s="4">
        <v>724</v>
      </c>
      <c r="G37" s="123">
        <v>0.1229</v>
      </c>
      <c r="H37" s="123">
        <v>0.1229</v>
      </c>
      <c r="I37" s="4">
        <f t="shared" si="0"/>
        <v>5890.9682668836458</v>
      </c>
      <c r="J37" s="126" t="str">
        <f t="shared" si="1"/>
        <v>ні</v>
      </c>
      <c r="K37" s="4">
        <v>704.11900000000003</v>
      </c>
      <c r="L37" s="4">
        <v>704.11900000000003</v>
      </c>
      <c r="M37" s="123">
        <v>0.11996852915147263</v>
      </c>
      <c r="N37" s="123">
        <v>0.11996852915147263</v>
      </c>
      <c r="O37" s="4">
        <f t="shared" si="2"/>
        <v>5869.1975718980202</v>
      </c>
      <c r="P37" s="4">
        <v>963.09699999999998</v>
      </c>
      <c r="Q37" s="4">
        <v>1239.595</v>
      </c>
      <c r="R37" s="4">
        <v>1545.7529999999999</v>
      </c>
      <c r="S37" s="4">
        <v>963.09699999999998</v>
      </c>
      <c r="T37" s="4">
        <v>1239.595</v>
      </c>
      <c r="U37" s="4">
        <v>1545.7529999999999</v>
      </c>
      <c r="V37" s="123">
        <v>0.16096295073578901</v>
      </c>
      <c r="W37" s="123">
        <v>0.20606999644893989</v>
      </c>
      <c r="X37" s="123">
        <v>0.25811548023524744</v>
      </c>
      <c r="Y37" s="123">
        <v>0.16096295073578901</v>
      </c>
      <c r="Z37" s="123">
        <v>0.20606999644893989</v>
      </c>
      <c r="AA37" s="123">
        <v>0.25811548023524744</v>
      </c>
      <c r="AB37" s="4">
        <f t="shared" si="3"/>
        <v>5983.3458295683567</v>
      </c>
      <c r="AC37" s="4">
        <f t="shared" si="3"/>
        <v>6015.4074894990708</v>
      </c>
      <c r="AD37" s="4">
        <f t="shared" si="3"/>
        <v>5988.6102088537837</v>
      </c>
      <c r="AE37" s="4">
        <v>-77.516000000000005</v>
      </c>
      <c r="AF37" s="4">
        <v>-186.678</v>
      </c>
      <c r="AG37" s="4">
        <v>22.277000000000001</v>
      </c>
      <c r="AH37" s="4">
        <v>-77.516000000000005</v>
      </c>
      <c r="AI37" s="4">
        <v>-186.678</v>
      </c>
      <c r="AJ37" s="4">
        <v>22.277000000000001</v>
      </c>
      <c r="AK37" s="123">
        <v>-1.371656648735432E-2</v>
      </c>
      <c r="AL37" s="123">
        <v>-3.340850177567397E-2</v>
      </c>
      <c r="AM37" s="123">
        <v>3.9830037920219078E-3</v>
      </c>
      <c r="AN37" s="123">
        <v>-1.371656648735432E-2</v>
      </c>
      <c r="AO37" s="123">
        <v>-3.340850177567397E-2</v>
      </c>
      <c r="AP37" s="123">
        <v>3.9830037920219078E-3</v>
      </c>
      <c r="AQ37" s="4">
        <f t="shared" si="4"/>
        <v>5651.2684913869762</v>
      </c>
      <c r="AR37" s="4">
        <f t="shared" si="4"/>
        <v>5587.739350105413</v>
      </c>
      <c r="AS37" s="4">
        <f t="shared" si="4"/>
        <v>5593.0150115903962</v>
      </c>
      <c r="AT37" s="66">
        <v>0.2</v>
      </c>
      <c r="AU37" s="66">
        <v>0.185</v>
      </c>
      <c r="AV37" s="97">
        <v>43709</v>
      </c>
      <c r="AW37" s="66">
        <v>0.192</v>
      </c>
      <c r="AX37" s="66">
        <v>0.17</v>
      </c>
      <c r="AY37" s="4">
        <v>0</v>
      </c>
      <c r="AZ37" s="4">
        <v>467.01799999999997</v>
      </c>
      <c r="BA37" s="95">
        <f t="shared" si="5"/>
        <v>43709</v>
      </c>
      <c r="BB37" s="4">
        <v>0</v>
      </c>
      <c r="BC37" s="4">
        <v>422.58100000000002</v>
      </c>
      <c r="BD37" s="66">
        <v>0.156</v>
      </c>
      <c r="BE37" s="66">
        <v>0.105</v>
      </c>
    </row>
    <row r="38" spans="1:57" x14ac:dyDescent="0.25">
      <c r="A38" s="3">
        <v>29</v>
      </c>
      <c r="B38" s="3">
        <v>325</v>
      </c>
      <c r="C38" s="37" t="str">
        <f>IF($J$1="ENG","Forward","Форвард")</f>
        <v>Форвард</v>
      </c>
      <c r="D38" s="86" t="str">
        <f>IF($J$1="ENG","Foreign banks","Банки іноземних банківських груп")</f>
        <v>Банки іноземних банківських груп</v>
      </c>
      <c r="E38" s="4">
        <v>237.726</v>
      </c>
      <c r="F38" s="4">
        <v>237.726</v>
      </c>
      <c r="G38" s="123">
        <v>0.15790646380398141</v>
      </c>
      <c r="H38" s="123">
        <v>0.15790646380398141</v>
      </c>
      <c r="I38" s="4">
        <f t="shared" si="0"/>
        <v>1505.4861863989513</v>
      </c>
      <c r="J38" s="126" t="str">
        <f t="shared" si="1"/>
        <v>ні</v>
      </c>
      <c r="K38" s="4">
        <v>237.726</v>
      </c>
      <c r="L38" s="4">
        <v>237.726</v>
      </c>
      <c r="M38" s="123">
        <v>0.15790646380398141</v>
      </c>
      <c r="N38" s="123">
        <v>0.15790646380398141</v>
      </c>
      <c r="O38" s="4">
        <f t="shared" si="2"/>
        <v>1505.4861863989513</v>
      </c>
      <c r="P38" s="4">
        <v>310.459</v>
      </c>
      <c r="Q38" s="4">
        <v>361.41699999999997</v>
      </c>
      <c r="R38" s="4">
        <v>388.488</v>
      </c>
      <c r="S38" s="4">
        <v>310.459</v>
      </c>
      <c r="T38" s="4">
        <v>361.41699999999997</v>
      </c>
      <c r="U38" s="4">
        <v>388.488</v>
      </c>
      <c r="V38" s="123">
        <v>0.2055071083955034</v>
      </c>
      <c r="W38" s="123">
        <v>0.23891241368649449</v>
      </c>
      <c r="X38" s="123">
        <v>0.25689659584834651</v>
      </c>
      <c r="Y38" s="123">
        <v>0.2055071083955034</v>
      </c>
      <c r="Z38" s="123">
        <v>0.23891241368649449</v>
      </c>
      <c r="AA38" s="123">
        <v>0.25689659584834651</v>
      </c>
      <c r="AB38" s="4">
        <f t="shared" si="3"/>
        <v>1510.697135607174</v>
      </c>
      <c r="AC38" s="4">
        <f t="shared" si="3"/>
        <v>1512.7594017540603</v>
      </c>
      <c r="AD38" s="4">
        <f t="shared" si="3"/>
        <v>1512.2349080457871</v>
      </c>
      <c r="AE38" s="4">
        <v>78.33</v>
      </c>
      <c r="AF38" s="4">
        <v>-82.527000000000001</v>
      </c>
      <c r="AG38" s="4">
        <v>-169.488</v>
      </c>
      <c r="AH38" s="4">
        <v>78.33</v>
      </c>
      <c r="AI38" s="4">
        <v>-82.527000000000001</v>
      </c>
      <c r="AJ38" s="4">
        <v>-169.488</v>
      </c>
      <c r="AK38" s="123">
        <v>5.5113528258604903E-2</v>
      </c>
      <c r="AL38" s="123">
        <v>-5.9882014565851835E-2</v>
      </c>
      <c r="AM38" s="123">
        <v>-0.12272824809619527</v>
      </c>
      <c r="AN38" s="123">
        <v>5.5113528258604903E-2</v>
      </c>
      <c r="AO38" s="123">
        <v>-5.9882014565851835E-2</v>
      </c>
      <c r="AP38" s="123">
        <v>-0.12272824809619527</v>
      </c>
      <c r="AQ38" s="4">
        <f t="shared" si="4"/>
        <v>1421.2481485935405</v>
      </c>
      <c r="AR38" s="4">
        <f t="shared" si="4"/>
        <v>1378.1600468575691</v>
      </c>
      <c r="AS38" s="4">
        <f t="shared" si="4"/>
        <v>1381.0023578854814</v>
      </c>
      <c r="AT38" s="66">
        <v>0.316</v>
      </c>
      <c r="AU38" s="66">
        <v>0.30299999999999999</v>
      </c>
      <c r="AV38" s="97">
        <v>43709</v>
      </c>
      <c r="AW38" s="66">
        <v>0.17399999999999999</v>
      </c>
      <c r="AX38" s="66">
        <v>0.158</v>
      </c>
      <c r="AY38" s="4">
        <v>0</v>
      </c>
      <c r="AZ38" s="4">
        <v>238.53800000000001</v>
      </c>
      <c r="BA38" s="95">
        <f t="shared" si="5"/>
        <v>43709</v>
      </c>
      <c r="BB38" s="4">
        <v>0</v>
      </c>
      <c r="BC38" s="4">
        <v>24</v>
      </c>
      <c r="BD38" s="66">
        <v>0.184</v>
      </c>
      <c r="BE38" s="66">
        <v>0.128</v>
      </c>
    </row>
    <row r="39" spans="1:57" x14ac:dyDescent="0.25">
      <c r="E39" s="68"/>
      <c r="F39" s="6"/>
      <c r="G39" s="6"/>
      <c r="AY39" s="29"/>
      <c r="AZ39" s="29"/>
      <c r="BA39" s="29"/>
      <c r="BB39" s="29"/>
      <c r="BC39" s="29"/>
    </row>
    <row r="40" spans="1:57" x14ac:dyDescent="0.25">
      <c r="A40" s="1" t="str">
        <f>IF($J$1="ENG","Note:","Примітки:")</f>
        <v>Примітки:</v>
      </c>
      <c r="D40" s="6"/>
      <c r="E40" s="68"/>
      <c r="F40" s="6"/>
      <c r="G40" s="6"/>
      <c r="H40" s="6"/>
      <c r="AY40" s="36"/>
      <c r="AZ40" s="36"/>
      <c r="BA40" s="36"/>
      <c r="BB40" s="36"/>
      <c r="BC40" s="36"/>
    </row>
    <row r="41" spans="1:57" x14ac:dyDescent="0.25">
      <c r="A41" s="1" t="str">
        <f>IF($J$1="ENG","Foreign banks do not include banks with state Russian capital.","Банки іноземних банківських груп не виключають банки із державним російським капіталом.")</f>
        <v>Банки іноземних банківських груп не виключають банки із державним російським капіталом.</v>
      </c>
      <c r="D41" s="6"/>
      <c r="E41" s="68"/>
      <c r="F41" s="6"/>
      <c r="G41" s="6"/>
      <c r="H41" s="6"/>
    </row>
    <row r="42" spans="1:57" x14ac:dyDescent="0.25">
      <c r="A42" s="1" t="str">
        <f>IF($J$1="ENG","","ОК - основний капітал, РК - регулятивний капітал.")</f>
        <v>ОК - основний капітал, РК - регулятивний капітал.</v>
      </c>
      <c r="D42" s="6"/>
      <c r="E42" s="68"/>
      <c r="F42" s="6"/>
      <c r="G42" s="6"/>
      <c r="H42" s="6"/>
    </row>
    <row r="43" spans="1:57" x14ac:dyDescent="0.25">
      <c r="A43" s="1" t="str">
        <f>IF($J$1="ENG","* Capital need is given as a memo item; requirement for capitalization/restructuring plan was based on required (target) capital adequacy level, not on capital need in equivalent as of 1 Jan 2019","* Сума потреби в капіталі надається довідково, вимога до банку про складання програми капіталізації/реструктуризації надсилалась для досягнення необхідного (цільового) рівня нормативів, а не покриття суми потреби в капіталі в еквіваленті на 01.01.2019 р.")</f>
        <v>* Сума потреби в капіталі надається довідково, вимога до банку про складання програми капіталізації/реструктуризації надсилалась для досягнення необхідного (цільового) рівня нормативів, а не покриття суми потреби в капіталі в еквіваленті на 01.01.2019 р.</v>
      </c>
      <c r="D43" s="6"/>
      <c r="E43" s="68"/>
      <c r="F43" s="6"/>
      <c r="G43" s="6"/>
      <c r="H43" s="6"/>
    </row>
    <row r="44" spans="1:57" x14ac:dyDescent="0.25">
      <c r="A44" s="1" t="str">
        <f>IF($J$1="ENG",$A$45,$A$46)</f>
        <v xml:space="preserve">Відповідно до пункту 21-1 розділу ІІІ Положення № 141 переглянуто необхідні рівні нормативів достатності (адекватності) регулятивного капіталу (Н2) та достатності основного капіталу (H3) для АТ “АЛЬФА-БАНК” з урахуванням ефекту від реорганізації шляхом приєднання АТ “УКРСОЦБАНК” до АТ “АЛЬФА-БАНК”. Так, необхідний рівень нормативу Н2 АТ “АЛЬФА-БАНК” як банку-правонаступника становив 18,0%, нормативу Н3 – 18,0%. З урахуванням вжитих заходів оновлений необхідний рівень нормативів Н2 – 14,8%, Н3 – 14,8% </v>
      </c>
      <c r="D44" s="6"/>
      <c r="E44" s="68"/>
      <c r="F44" s="6"/>
      <c r="G44" s="6"/>
      <c r="H44" s="6"/>
    </row>
    <row r="45" spans="1:57" x14ac:dyDescent="0.25">
      <c r="A45" s="64" t="s">
        <v>4</v>
      </c>
      <c r="D45" s="6"/>
      <c r="E45" s="68"/>
      <c r="F45" s="6"/>
      <c r="G45" s="6"/>
      <c r="H45" s="6"/>
    </row>
    <row r="46" spans="1:57" x14ac:dyDescent="0.25">
      <c r="A46" s="64" t="s">
        <v>5</v>
      </c>
      <c r="D46" s="6"/>
      <c r="E46" s="68"/>
      <c r="F46" s="6"/>
      <c r="G46" s="6"/>
      <c r="H46" s="6"/>
    </row>
    <row r="47" spans="1:57" x14ac:dyDescent="0.25">
      <c r="D47" s="6"/>
      <c r="E47" s="68"/>
      <c r="F47" s="6"/>
      <c r="G47" s="6"/>
      <c r="H47" s="6"/>
    </row>
    <row r="48" spans="1:57" x14ac:dyDescent="0.25">
      <c r="E48" s="68"/>
      <c r="F48" s="6"/>
      <c r="G48" s="6"/>
    </row>
    <row r="49" spans="5:7" x14ac:dyDescent="0.25">
      <c r="E49" s="68"/>
      <c r="F49" s="6"/>
      <c r="G49" s="6"/>
    </row>
    <row r="50" spans="5:7" x14ac:dyDescent="0.25">
      <c r="E50" s="68"/>
      <c r="F50" s="6"/>
      <c r="G50" s="6"/>
    </row>
    <row r="51" spans="5:7" x14ac:dyDescent="0.25">
      <c r="E51" s="68"/>
      <c r="F51" s="6"/>
      <c r="G51" s="6"/>
    </row>
    <row r="52" spans="5:7" x14ac:dyDescent="0.25">
      <c r="E52" s="68"/>
      <c r="F52" s="6"/>
      <c r="G52" s="6"/>
    </row>
    <row r="53" spans="5:7" x14ac:dyDescent="0.25">
      <c r="E53" s="68"/>
      <c r="F53" s="6"/>
      <c r="G53" s="6"/>
    </row>
    <row r="54" spans="5:7" x14ac:dyDescent="0.25">
      <c r="E54" s="68"/>
      <c r="F54" s="6"/>
      <c r="G54" s="6"/>
    </row>
    <row r="55" spans="5:7" x14ac:dyDescent="0.25">
      <c r="E55" s="68"/>
      <c r="F55" s="6"/>
      <c r="G55" s="6"/>
    </row>
    <row r="56" spans="5:7" x14ac:dyDescent="0.25">
      <c r="E56" s="6"/>
      <c r="F56" s="6"/>
      <c r="G56" s="6"/>
    </row>
    <row r="57" spans="5:7" x14ac:dyDescent="0.25">
      <c r="E57" s="6"/>
      <c r="F57" s="6"/>
      <c r="G57" s="6"/>
    </row>
    <row r="58" spans="5:7" x14ac:dyDescent="0.25">
      <c r="E58" s="6"/>
      <c r="F58" s="6"/>
      <c r="G58" s="6"/>
    </row>
    <row r="59" spans="5:7" x14ac:dyDescent="0.25">
      <c r="E59" s="6"/>
      <c r="F59" s="6"/>
      <c r="G59" s="6"/>
    </row>
  </sheetData>
  <sheetProtection password="E2D0" sheet="1" objects="1" scenarios="1"/>
  <mergeCells count="49">
    <mergeCell ref="AQ8:AS8"/>
    <mergeCell ref="BE7:BE8"/>
    <mergeCell ref="P8:R8"/>
    <mergeCell ref="S8:U8"/>
    <mergeCell ref="V8:X8"/>
    <mergeCell ref="Y8:AA8"/>
    <mergeCell ref="AB8:AD8"/>
    <mergeCell ref="AE8:AG8"/>
    <mergeCell ref="AH8:AJ8"/>
    <mergeCell ref="AK8:AM8"/>
    <mergeCell ref="AN8:AP8"/>
    <mergeCell ref="AY7:AY8"/>
    <mergeCell ref="AZ7:AZ8"/>
    <mergeCell ref="BA7:BA8"/>
    <mergeCell ref="BB7:BB8"/>
    <mergeCell ref="BC7:BC8"/>
    <mergeCell ref="BD7:BD8"/>
    <mergeCell ref="AV6:AX6"/>
    <mergeCell ref="AY6:AZ6"/>
    <mergeCell ref="BA6:BC6"/>
    <mergeCell ref="E7:I8"/>
    <mergeCell ref="J7:O8"/>
    <mergeCell ref="AT7:AT8"/>
    <mergeCell ref="AU7:AU8"/>
    <mergeCell ref="AV7:AV8"/>
    <mergeCell ref="AW7:AW8"/>
    <mergeCell ref="AX7:AX8"/>
    <mergeCell ref="AE6:AG6"/>
    <mergeCell ref="AH6:AJ6"/>
    <mergeCell ref="AK6:AM6"/>
    <mergeCell ref="AN6:AP6"/>
    <mergeCell ref="AQ6:AS6"/>
    <mergeCell ref="BD4:BE6"/>
    <mergeCell ref="P6:R6"/>
    <mergeCell ref="S6:U6"/>
    <mergeCell ref="V6:X6"/>
    <mergeCell ref="Y6:AA6"/>
    <mergeCell ref="AB6:AD6"/>
    <mergeCell ref="AT6:AU6"/>
    <mergeCell ref="P4:AD5"/>
    <mergeCell ref="AE4:AS5"/>
    <mergeCell ref="AT4:AX5"/>
    <mergeCell ref="AY4:BC5"/>
    <mergeCell ref="J4:O5"/>
    <mergeCell ref="A4:A8"/>
    <mergeCell ref="B4:B8"/>
    <mergeCell ref="C4:C8"/>
    <mergeCell ref="D4:D8"/>
    <mergeCell ref="E4:I5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Drop Down 1">
              <controlPr defaultSize="0" autoLine="0" autoPict="0">
                <anchor moveWithCells="1">
                  <from>
                    <xdr:col>8</xdr:col>
                    <xdr:colOff>1485900</xdr:colOff>
                    <xdr:row>0</xdr:row>
                    <xdr:rowOff>0</xdr:rowOff>
                  </from>
                  <to>
                    <xdr:col>10</xdr:col>
                    <xdr:colOff>107950</xdr:colOff>
                    <xdr:row>1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7</vt:i4>
      </vt:variant>
    </vt:vector>
  </HeadingPairs>
  <TitlesOfParts>
    <vt:vector size="7" baseType="lpstr">
      <vt:lpstr>Individual banks</vt:lpstr>
      <vt:lpstr>Comparison with 2019</vt:lpstr>
      <vt:lpstr>Comparison of banks</vt:lpstr>
      <vt:lpstr>Comparison with group</vt:lpstr>
      <vt:lpstr>Capital need</vt:lpstr>
      <vt:lpstr>Data table</vt:lpstr>
      <vt:lpstr>Data table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2022-01-21T08:59:46Z</dcterms:modified>
</cp:coreProperties>
</file>