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5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6.xml" ContentType="application/vnd.openxmlformats-officedocument.drawing+xml"/>
  <Override PartName="/xl/ctrlProps/ctrlProp17.xml" ContentType="application/vnd.ms-excel.controlproperties+xml"/>
  <Override PartName="/xl/drawings/drawing7.xml" ContentType="application/vnd.openxmlformats-officedocument.drawing+xml"/>
  <Override PartName="/xl/ctrlProps/ctrlProp18.xml" ContentType="application/vnd.ms-excel.controlproperties+xml"/>
  <Override PartName="/xl/drawings/drawing8.xml" ContentType="application/vnd.openxmlformats-officedocument.drawing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DFS\StressTest\StressTest2025\ST_results\"/>
    </mc:Choice>
  </mc:AlternateContent>
  <workbookProtection workbookAlgorithmName="SHA-512" workbookHashValue="0e1lWwC5+2YyJQWLHbwUcxf71og197SuM6CWEkUrt7S+TDqjg7CKeSuOf1N4Nl6FnndEMzm+utPZ/uK7JD4nRw==" workbookSaltValue="ggYGYo1wCaq9W6kSHRsLZA==" workbookSpinCount="100000" lockStructure="1"/>
  <bookViews>
    <workbookView xWindow="0" yWindow="0" windowWidth="28800" windowHeight="12312"/>
  </bookViews>
  <sheets>
    <sheet name="Individual banks" sheetId="11" r:id="rId1"/>
    <sheet name="Comparison with 2021" sheetId="12" r:id="rId2"/>
    <sheet name="Capital need" sheetId="15" r:id="rId3"/>
    <sheet name="Comparison with group" sheetId="14" r:id="rId4"/>
    <sheet name="Comparison of banks" sheetId="13" r:id="rId5"/>
    <sheet name="Data table" sheetId="10" r:id="rId6"/>
    <sheet name="2021 data table" sheetId="8" r:id="rId7"/>
    <sheet name="tech" sheetId="5" state="hidden" r:id="rId8"/>
  </sheets>
  <externalReferences>
    <externalReference r:id="rId9"/>
  </externalReferences>
  <definedNames>
    <definedName name="_xlnm._FilterDatabase" localSheetId="5" hidden="1">'Data table'!$A$9:$DH$31</definedName>
    <definedName name="LANG">[1]intro!$C$6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0" l="1"/>
  <c r="G9" i="10" s="1"/>
  <c r="H9" i="10" s="1"/>
  <c r="I9" i="10" s="1"/>
  <c r="J9" i="10" s="1"/>
  <c r="L9" i="10" s="1"/>
  <c r="I8" i="14"/>
  <c r="J8" i="14"/>
  <c r="K8" i="14"/>
  <c r="P4" i="15" l="1"/>
  <c r="M4" i="15"/>
  <c r="J4" i="15"/>
  <c r="G4" i="15"/>
  <c r="K2" i="12"/>
  <c r="H7" i="12" l="1"/>
  <c r="F7" i="12"/>
  <c r="E7" i="12"/>
  <c r="C7" i="12"/>
  <c r="G7" i="12"/>
  <c r="D7" i="12"/>
  <c r="E9" i="15"/>
  <c r="E5" i="15"/>
  <c r="E7" i="15"/>
  <c r="E6" i="15"/>
  <c r="E8" i="15"/>
  <c r="E10" i="15"/>
  <c r="H7" i="15"/>
  <c r="H9" i="15"/>
  <c r="H8" i="15"/>
  <c r="H10" i="15"/>
  <c r="H6" i="15"/>
  <c r="H5" i="15"/>
  <c r="K9" i="15"/>
  <c r="K5" i="15"/>
  <c r="K7" i="15"/>
  <c r="K10" i="15"/>
  <c r="K6" i="15"/>
  <c r="K8" i="15"/>
  <c r="N9" i="15"/>
  <c r="N5" i="15"/>
  <c r="N7" i="15"/>
  <c r="N10" i="15"/>
  <c r="N8" i="15"/>
  <c r="N6" i="15"/>
  <c r="W4" i="13"/>
  <c r="Q4" i="13"/>
  <c r="K4" i="13"/>
  <c r="E4" i="13"/>
  <c r="K2" i="14"/>
  <c r="K16" i="14"/>
  <c r="I13" i="14"/>
  <c r="I16" i="14"/>
  <c r="J7" i="14"/>
  <c r="J9" i="14"/>
  <c r="K15" i="14"/>
  <c r="K7" i="14"/>
  <c r="I7" i="14"/>
  <c r="K13" i="14"/>
  <c r="K9" i="14"/>
  <c r="I12" i="14"/>
  <c r="I9" i="14"/>
  <c r="K17" i="14"/>
  <c r="J17" i="14"/>
  <c r="J13" i="14"/>
  <c r="J12" i="14"/>
  <c r="J11" i="14"/>
  <c r="K12" i="14"/>
  <c r="I15" i="14"/>
  <c r="J16" i="14"/>
  <c r="I11" i="14"/>
  <c r="J15" i="14"/>
  <c r="I17" i="14"/>
  <c r="K11" i="14"/>
  <c r="Z7" i="13" l="1"/>
  <c r="V7" i="13"/>
  <c r="Y7" i="13"/>
  <c r="U7" i="13"/>
  <c r="X7" i="13"/>
  <c r="W7" i="13"/>
  <c r="R7" i="13"/>
  <c r="S7" i="13"/>
  <c r="Q7" i="13"/>
  <c r="O7" i="13"/>
  <c r="T7" i="13"/>
  <c r="P7" i="13"/>
  <c r="N7" i="13"/>
  <c r="J7" i="13"/>
  <c r="M7" i="13"/>
  <c r="I7" i="13"/>
  <c r="L7" i="13"/>
  <c r="K7" i="13"/>
  <c r="F7" i="13"/>
  <c r="D7" i="13"/>
  <c r="C7" i="13"/>
  <c r="E7" i="13"/>
  <c r="H7" i="13"/>
  <c r="G7" i="13"/>
  <c r="H8" i="14"/>
  <c r="G8" i="14"/>
  <c r="F8" i="14"/>
  <c r="E8" i="14"/>
  <c r="D8" i="14"/>
  <c r="C8" i="14"/>
  <c r="H39" i="13"/>
  <c r="L15" i="14"/>
  <c r="M16" i="14"/>
  <c r="M15" i="14"/>
  <c r="L11" i="14"/>
  <c r="N11" i="14"/>
  <c r="N13" i="14"/>
  <c r="N17" i="14"/>
  <c r="M12" i="14"/>
  <c r="L12" i="14"/>
  <c r="L17" i="14"/>
  <c r="M13" i="14"/>
  <c r="L16" i="14"/>
  <c r="N16" i="14"/>
  <c r="L13" i="14"/>
  <c r="N12" i="14"/>
  <c r="M11" i="14"/>
  <c r="M17" i="14"/>
  <c r="N15" i="14"/>
  <c r="H17" i="14" l="1"/>
  <c r="G7" i="14"/>
  <c r="G11" i="14"/>
  <c r="G15" i="14"/>
  <c r="E15" i="14"/>
  <c r="C7" i="14"/>
  <c r="E12" i="14"/>
  <c r="C16" i="14"/>
  <c r="E9" i="14"/>
  <c r="C13" i="14"/>
  <c r="G16" i="14"/>
  <c r="C11" i="14"/>
  <c r="G13" i="14"/>
  <c r="E17" i="14"/>
  <c r="D7" i="14"/>
  <c r="H7" i="14"/>
  <c r="F9" i="14"/>
  <c r="D11" i="14"/>
  <c r="H11" i="14"/>
  <c r="F12" i="14"/>
  <c r="D13" i="14"/>
  <c r="H13" i="14"/>
  <c r="F15" i="14"/>
  <c r="D16" i="14"/>
  <c r="H16" i="14"/>
  <c r="F17" i="14"/>
  <c r="E7" i="14"/>
  <c r="C9" i="14"/>
  <c r="G9" i="14"/>
  <c r="E11" i="14"/>
  <c r="C12" i="14"/>
  <c r="G12" i="14"/>
  <c r="E13" i="14"/>
  <c r="C15" i="14"/>
  <c r="E16" i="14"/>
  <c r="C17" i="14"/>
  <c r="G17" i="14"/>
  <c r="F7" i="14"/>
  <c r="D9" i="14"/>
  <c r="H9" i="14"/>
  <c r="F11" i="14"/>
  <c r="D12" i="14"/>
  <c r="H12" i="14"/>
  <c r="F13" i="14"/>
  <c r="D15" i="14"/>
  <c r="H15" i="14"/>
  <c r="F16" i="14"/>
  <c r="D17" i="14"/>
  <c r="L16" i="13" l="1"/>
  <c r="N15" i="13"/>
  <c r="J15" i="13"/>
  <c r="L14" i="13"/>
  <c r="N12" i="13"/>
  <c r="J12" i="13"/>
  <c r="L11" i="13"/>
  <c r="N10" i="13"/>
  <c r="J10" i="13"/>
  <c r="L8" i="13"/>
  <c r="N6" i="13"/>
  <c r="J6" i="13"/>
  <c r="N16" i="13"/>
  <c r="N14" i="13"/>
  <c r="L12" i="13"/>
  <c r="L10" i="13"/>
  <c r="J8" i="13"/>
  <c r="K16" i="13"/>
  <c r="M15" i="13"/>
  <c r="I15" i="13"/>
  <c r="K14" i="13"/>
  <c r="M12" i="13"/>
  <c r="I12" i="13"/>
  <c r="K11" i="13"/>
  <c r="M10" i="13"/>
  <c r="I10" i="13"/>
  <c r="K8" i="13"/>
  <c r="M6" i="13"/>
  <c r="I6" i="13"/>
  <c r="J16" i="13"/>
  <c r="L15" i="13"/>
  <c r="J14" i="13"/>
  <c r="N11" i="13"/>
  <c r="J11" i="13"/>
  <c r="N8" i="13"/>
  <c r="L6" i="13"/>
  <c r="M16" i="13"/>
  <c r="I14" i="13"/>
  <c r="K10" i="13"/>
  <c r="M11" i="13"/>
  <c r="I11" i="13"/>
  <c r="I16" i="13"/>
  <c r="K12" i="13"/>
  <c r="M8" i="13"/>
  <c r="K15" i="13"/>
  <c r="I8" i="13"/>
  <c r="M14" i="13"/>
  <c r="K6" i="13"/>
  <c r="R16" i="13"/>
  <c r="T15" i="13"/>
  <c r="P15" i="13"/>
  <c r="R14" i="13"/>
  <c r="T12" i="13"/>
  <c r="P12" i="13"/>
  <c r="R11" i="13"/>
  <c r="T10" i="13"/>
  <c r="P10" i="13"/>
  <c r="R8" i="13"/>
  <c r="T6" i="13"/>
  <c r="P6" i="13"/>
  <c r="T16" i="13"/>
  <c r="R15" i="13"/>
  <c r="P14" i="13"/>
  <c r="P11" i="13"/>
  <c r="T8" i="13"/>
  <c r="S16" i="13"/>
  <c r="Q15" i="13"/>
  <c r="O14" i="13"/>
  <c r="S11" i="13"/>
  <c r="S8" i="13"/>
  <c r="Q6" i="13"/>
  <c r="Q16" i="13"/>
  <c r="S15" i="13"/>
  <c r="O15" i="13"/>
  <c r="Q14" i="13"/>
  <c r="S12" i="13"/>
  <c r="O12" i="13"/>
  <c r="Q11" i="13"/>
  <c r="S10" i="13"/>
  <c r="O10" i="13"/>
  <c r="Q8" i="13"/>
  <c r="S6" i="13"/>
  <c r="O6" i="13"/>
  <c r="P16" i="13"/>
  <c r="T14" i="13"/>
  <c r="R12" i="13"/>
  <c r="T11" i="13"/>
  <c r="R10" i="13"/>
  <c r="P8" i="13"/>
  <c r="R6" i="13"/>
  <c r="O16" i="13"/>
  <c r="S14" i="13"/>
  <c r="Q12" i="13"/>
  <c r="O11" i="13"/>
  <c r="Q10" i="13"/>
  <c r="O8" i="13"/>
  <c r="X16" i="13"/>
  <c r="Z15" i="13"/>
  <c r="V15" i="13"/>
  <c r="X14" i="13"/>
  <c r="Z12" i="13"/>
  <c r="V12" i="13"/>
  <c r="X11" i="13"/>
  <c r="Z10" i="13"/>
  <c r="V10" i="13"/>
  <c r="X8" i="13"/>
  <c r="Z6" i="13"/>
  <c r="V6" i="13"/>
  <c r="V16" i="13"/>
  <c r="Z14" i="13"/>
  <c r="Z11" i="13"/>
  <c r="X10" i="13"/>
  <c r="V8" i="13"/>
  <c r="U16" i="13"/>
  <c r="Y14" i="13"/>
  <c r="W12" i="13"/>
  <c r="U11" i="13"/>
  <c r="Y8" i="13"/>
  <c r="W16" i="13"/>
  <c r="Y15" i="13"/>
  <c r="U15" i="13"/>
  <c r="W14" i="13"/>
  <c r="Y12" i="13"/>
  <c r="U12" i="13"/>
  <c r="W11" i="13"/>
  <c r="Y10" i="13"/>
  <c r="U10" i="13"/>
  <c r="W8" i="13"/>
  <c r="Y6" i="13"/>
  <c r="U6" i="13"/>
  <c r="Z16" i="13"/>
  <c r="X15" i="13"/>
  <c r="V14" i="13"/>
  <c r="X12" i="13"/>
  <c r="V11" i="13"/>
  <c r="Z8" i="13"/>
  <c r="X6" i="13"/>
  <c r="Y16" i="13"/>
  <c r="W15" i="13"/>
  <c r="U14" i="13"/>
  <c r="Y11" i="13"/>
  <c r="W10" i="13"/>
  <c r="U8" i="13"/>
  <c r="W6" i="13"/>
  <c r="H16" i="13"/>
  <c r="D16" i="13"/>
  <c r="F15" i="13"/>
  <c r="H14" i="13"/>
  <c r="D14" i="13"/>
  <c r="F12" i="13"/>
  <c r="H11" i="13"/>
  <c r="D11" i="13"/>
  <c r="F10" i="13"/>
  <c r="H8" i="13"/>
  <c r="D8" i="13"/>
  <c r="F6" i="13"/>
  <c r="E16" i="13"/>
  <c r="G12" i="13"/>
  <c r="G10" i="13"/>
  <c r="E8" i="13"/>
  <c r="G16" i="13"/>
  <c r="C16" i="13"/>
  <c r="E15" i="13"/>
  <c r="G14" i="13"/>
  <c r="C14" i="13"/>
  <c r="E12" i="13"/>
  <c r="G11" i="13"/>
  <c r="C11" i="13"/>
  <c r="E10" i="13"/>
  <c r="G8" i="13"/>
  <c r="C8" i="13"/>
  <c r="E6" i="13"/>
  <c r="C15" i="13"/>
  <c r="C12" i="13"/>
  <c r="C10" i="13"/>
  <c r="C6" i="13"/>
  <c r="F16" i="13"/>
  <c r="H15" i="13"/>
  <c r="D15" i="13"/>
  <c r="F14" i="13"/>
  <c r="H12" i="13"/>
  <c r="D12" i="13"/>
  <c r="F11" i="13"/>
  <c r="H10" i="13"/>
  <c r="D10" i="13"/>
  <c r="F8" i="13"/>
  <c r="H6" i="13"/>
  <c r="D6" i="13"/>
  <c r="G15" i="13"/>
  <c r="E14" i="13"/>
  <c r="E11" i="13"/>
  <c r="G6" i="13"/>
  <c r="C3" i="8"/>
  <c r="D3" i="8" s="1"/>
  <c r="E3" i="8" s="1"/>
  <c r="F3" i="8" s="1"/>
  <c r="G3" i="8" s="1"/>
  <c r="H3" i="8" s="1"/>
  <c r="I3" i="8" s="1"/>
  <c r="J3" i="8" s="1"/>
  <c r="K3" i="8" s="1"/>
  <c r="L3" i="8" s="1"/>
  <c r="M3" i="8" s="1"/>
  <c r="N3" i="8" s="1"/>
  <c r="O3" i="8" s="1"/>
  <c r="P3" i="8" s="1"/>
  <c r="Q3" i="8" s="1"/>
  <c r="R3" i="8" s="1"/>
  <c r="S3" i="8" s="1"/>
  <c r="T3" i="8" s="1"/>
  <c r="U3" i="8" s="1"/>
  <c r="V3" i="8" s="1"/>
  <c r="W3" i="8" s="1"/>
  <c r="X3" i="8" s="1"/>
  <c r="Y3" i="8" s="1"/>
  <c r="Z3" i="8" s="1"/>
  <c r="AA3" i="8" s="1"/>
  <c r="AB3" i="8" s="1"/>
  <c r="AC3" i="8" s="1"/>
  <c r="AD3" i="8" s="1"/>
  <c r="AE3" i="8" s="1"/>
  <c r="AF3" i="8" s="1"/>
  <c r="AG3" i="8" s="1"/>
  <c r="AH3" i="8" s="1"/>
  <c r="AI3" i="8" s="1"/>
  <c r="AJ3" i="8" s="1"/>
  <c r="AK3" i="8" s="1"/>
  <c r="AL3" i="8" s="1"/>
  <c r="AM3" i="8" s="1"/>
  <c r="AN3" i="8" s="1"/>
  <c r="AO3" i="8" s="1"/>
  <c r="AP3" i="8" s="1"/>
  <c r="AQ3" i="8" s="1"/>
  <c r="AR3" i="8" s="1"/>
  <c r="AS3" i="8" s="1"/>
  <c r="AT3" i="8" s="1"/>
  <c r="AU3" i="8" s="1"/>
  <c r="AV3" i="8" s="1"/>
  <c r="AW3" i="8" s="1"/>
  <c r="AX3" i="8" s="1"/>
  <c r="AY3" i="8" s="1"/>
  <c r="AZ3" i="8" s="1"/>
  <c r="BA3" i="8" s="1"/>
  <c r="H16" i="12" l="1"/>
  <c r="G15" i="12"/>
  <c r="F14" i="12"/>
  <c r="D16" i="12"/>
  <c r="C15" i="12"/>
  <c r="H10" i="12"/>
  <c r="F12" i="12"/>
  <c r="E11" i="12"/>
  <c r="D10" i="12"/>
  <c r="H8" i="12"/>
  <c r="D8" i="12"/>
  <c r="G14" i="12"/>
  <c r="D15" i="12"/>
  <c r="G12" i="12"/>
  <c r="F11" i="12"/>
  <c r="C12" i="12"/>
  <c r="G8" i="12"/>
  <c r="E12" i="12"/>
  <c r="E8" i="12"/>
  <c r="H15" i="12"/>
  <c r="E16" i="12"/>
  <c r="C14" i="12"/>
  <c r="E10" i="12"/>
  <c r="C8" i="12"/>
  <c r="D11" i="12"/>
  <c r="H14" i="12"/>
  <c r="F16" i="12"/>
  <c r="E15" i="12"/>
  <c r="D14" i="12"/>
  <c r="H12" i="12"/>
  <c r="G11" i="12"/>
  <c r="F10" i="12"/>
  <c r="D12" i="12"/>
  <c r="C11" i="12"/>
  <c r="F8" i="12"/>
  <c r="G16" i="12"/>
  <c r="F15" i="12"/>
  <c r="E14" i="12"/>
  <c r="C16" i="12"/>
  <c r="H11" i="12"/>
  <c r="G10" i="12"/>
  <c r="C10" i="12"/>
  <c r="K15" i="12"/>
  <c r="I14" i="12"/>
  <c r="J10" i="12"/>
  <c r="I8" i="12"/>
  <c r="K11" i="12"/>
  <c r="K16" i="12"/>
  <c r="I11" i="12"/>
  <c r="J15" i="12"/>
  <c r="I7" i="12"/>
  <c r="L8" i="12"/>
  <c r="L14" i="12"/>
  <c r="L15" i="12"/>
  <c r="I15" i="12"/>
  <c r="I10" i="12"/>
  <c r="K12" i="12"/>
  <c r="I16" i="12"/>
  <c r="L10" i="12"/>
  <c r="L16" i="12"/>
  <c r="J11" i="12"/>
  <c r="K7" i="12"/>
  <c r="L11" i="12"/>
  <c r="J12" i="12"/>
  <c r="L7" i="12"/>
  <c r="L12" i="12"/>
  <c r="J14" i="12"/>
  <c r="J7" i="12"/>
  <c r="K8" i="12"/>
  <c r="K14" i="12"/>
  <c r="I12" i="12"/>
  <c r="J16" i="12"/>
  <c r="J8" i="12"/>
  <c r="K10" i="12"/>
  <c r="E2" i="11" l="1"/>
  <c r="O15" i="11"/>
  <c r="D12" i="11" l="1"/>
  <c r="D11" i="11"/>
  <c r="D10" i="11"/>
  <c r="D9" i="11"/>
  <c r="D8" i="11"/>
  <c r="D7" i="11"/>
  <c r="L11" i="11"/>
  <c r="I12" i="11"/>
  <c r="K10" i="11"/>
  <c r="J9" i="11"/>
  <c r="I8" i="11"/>
  <c r="H12" i="11"/>
  <c r="G11" i="11"/>
  <c r="F10" i="11"/>
  <c r="H8" i="11"/>
  <c r="G7" i="11"/>
  <c r="E10" i="11"/>
  <c r="J12" i="11"/>
  <c r="J8" i="11"/>
  <c r="H11" i="11"/>
  <c r="H7" i="11"/>
  <c r="L10" i="11"/>
  <c r="K11" i="11"/>
  <c r="J10" i="11"/>
  <c r="I9" i="11"/>
  <c r="K7" i="11"/>
  <c r="G12" i="11"/>
  <c r="F11" i="11"/>
  <c r="H9" i="11"/>
  <c r="G8" i="11"/>
  <c r="F7" i="11"/>
  <c r="E9" i="11"/>
  <c r="I11" i="11"/>
  <c r="I7" i="11"/>
  <c r="F9" i="11"/>
  <c r="E7" i="11"/>
  <c r="K12" i="11"/>
  <c r="J11" i="11"/>
  <c r="I10" i="11"/>
  <c r="K8" i="11"/>
  <c r="J7" i="11"/>
  <c r="F12" i="11"/>
  <c r="H10" i="11"/>
  <c r="G9" i="11"/>
  <c r="F8" i="11"/>
  <c r="E12" i="11"/>
  <c r="E8" i="11"/>
  <c r="L12" i="11"/>
  <c r="K9" i="11"/>
  <c r="G10" i="11"/>
  <c r="E11" i="11"/>
  <c r="C10" i="11"/>
  <c r="C9" i="11"/>
  <c r="C12" i="11"/>
  <c r="C8" i="11"/>
  <c r="C11" i="11"/>
  <c r="C7" i="11"/>
  <c r="H15" i="11" l="1"/>
  <c r="I15" i="11"/>
  <c r="G15" i="11"/>
  <c r="F15" i="11"/>
  <c r="J15" i="11"/>
  <c r="K15" i="11"/>
  <c r="M9" i="10"/>
  <c r="N9" i="10" s="1"/>
  <c r="O9" i="10" s="1"/>
  <c r="P9" i="10" s="1"/>
  <c r="Q9" i="10" s="1"/>
  <c r="S9" i="10" s="1"/>
  <c r="T9" i="10" s="1"/>
  <c r="U9" i="10" s="1"/>
  <c r="V9" i="10" s="1"/>
  <c r="W9" i="10" s="1"/>
  <c r="X9" i="10" s="1"/>
  <c r="Y9" i="10" s="1"/>
  <c r="AA9" i="10" s="1"/>
  <c r="AB9" i="10" s="1"/>
  <c r="AC9" i="10" s="1"/>
  <c r="AD9" i="10" s="1"/>
  <c r="AE9" i="10" s="1"/>
  <c r="AF9" i="10" s="1"/>
  <c r="AG9" i="10" s="1"/>
  <c r="AH9" i="10" s="1"/>
  <c r="AI9" i="10" s="1"/>
  <c r="AJ9" i="10" s="1"/>
  <c r="AK9" i="10" s="1"/>
  <c r="AL9" i="10" s="1"/>
  <c r="AM9" i="10" s="1"/>
  <c r="AN9" i="10" s="1"/>
  <c r="AO9" i="10" s="1"/>
  <c r="AP9" i="10" s="1"/>
  <c r="AQ9" i="10" s="1"/>
  <c r="AR9" i="10" s="1"/>
  <c r="AV9" i="10" s="1"/>
  <c r="AW9" i="10" s="1"/>
  <c r="AX9" i="10" s="1"/>
  <c r="AY9" i="10" s="1"/>
  <c r="AZ9" i="10" s="1"/>
  <c r="BA9" i="10" s="1"/>
  <c r="BB9" i="10" s="1"/>
  <c r="BC9" i="10" s="1"/>
  <c r="BD9" i="10" s="1"/>
  <c r="BE9" i="10" s="1"/>
  <c r="BF9" i="10" s="1"/>
  <c r="BG9" i="10" s="1"/>
  <c r="BH9" i="10" s="1"/>
  <c r="BI9" i="10" s="1"/>
  <c r="BJ9" i="10" s="1"/>
  <c r="BK9" i="10" s="1"/>
  <c r="BL9" i="10" s="1"/>
  <c r="BM9" i="10" s="1"/>
  <c r="BW9" i="10" s="1"/>
  <c r="BX9" i="10" s="1"/>
  <c r="BY9" i="10" s="1"/>
  <c r="BZ9" i="10" s="1"/>
  <c r="CA9" i="10" s="1"/>
  <c r="CB9" i="10" s="1"/>
  <c r="B9" i="10"/>
  <c r="C9" i="10" s="1"/>
  <c r="N11" i="15" l="1"/>
  <c r="N13" i="15"/>
  <c r="H11" i="15"/>
  <c r="H13" i="15"/>
  <c r="E11" i="15"/>
  <c r="E13" i="15"/>
  <c r="A11" i="10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K11" i="15"/>
  <c r="K13" i="15"/>
  <c r="Q8" i="15"/>
  <c r="N7" i="14"/>
  <c r="N8" i="14"/>
  <c r="Q6" i="15"/>
  <c r="Q5" i="15"/>
  <c r="M7" i="14"/>
  <c r="Q9" i="15"/>
  <c r="L7" i="14"/>
  <c r="L8" i="14"/>
  <c r="M9" i="14"/>
  <c r="N9" i="14"/>
  <c r="M8" i="14"/>
  <c r="L9" i="14"/>
  <c r="Q10" i="15"/>
  <c r="Q7" i="15"/>
  <c r="J12" i="15" l="1"/>
  <c r="H12" i="15"/>
  <c r="P12" i="15"/>
  <c r="N12" i="15"/>
  <c r="E12" i="15"/>
  <c r="G12" i="15"/>
  <c r="M12" i="15"/>
  <c r="K12" i="15"/>
  <c r="J1" i="5" l="1"/>
  <c r="J24" i="5" l="1"/>
  <c r="J22" i="5"/>
  <c r="J20" i="5"/>
  <c r="J18" i="5"/>
  <c r="D24" i="10" s="1"/>
  <c r="J16" i="5"/>
  <c r="J14" i="5"/>
  <c r="J12" i="5"/>
  <c r="J10" i="5"/>
  <c r="J8" i="5"/>
  <c r="J6" i="5"/>
  <c r="I4" i="5"/>
  <c r="J21" i="5"/>
  <c r="D27" i="10" s="1"/>
  <c r="J17" i="5"/>
  <c r="J13" i="5"/>
  <c r="J9" i="5"/>
  <c r="I23" i="5"/>
  <c r="C29" i="10" s="1"/>
  <c r="I17" i="5"/>
  <c r="I15" i="5"/>
  <c r="I9" i="5"/>
  <c r="I24" i="5"/>
  <c r="C30" i="10" s="1"/>
  <c r="I22" i="5"/>
  <c r="I20" i="5"/>
  <c r="I18" i="5"/>
  <c r="I16" i="5"/>
  <c r="C22" i="10" s="1"/>
  <c r="I14" i="5"/>
  <c r="I12" i="5"/>
  <c r="I10" i="5"/>
  <c r="I8" i="5"/>
  <c r="C14" i="10" s="1"/>
  <c r="I6" i="5"/>
  <c r="J4" i="5"/>
  <c r="J7" i="5"/>
  <c r="I21" i="5"/>
  <c r="C27" i="10" s="1"/>
  <c r="I13" i="5"/>
  <c r="I7" i="5"/>
  <c r="J23" i="5"/>
  <c r="J19" i="5"/>
  <c r="D25" i="10" s="1"/>
  <c r="J15" i="5"/>
  <c r="J11" i="5"/>
  <c r="J5" i="5"/>
  <c r="I19" i="5"/>
  <c r="C25" i="10" s="1"/>
  <c r="I11" i="5"/>
  <c r="I5" i="5"/>
  <c r="D14" i="10"/>
  <c r="D16" i="10"/>
  <c r="D28" i="10"/>
  <c r="D30" i="10"/>
  <c r="C21" i="10"/>
  <c r="D13" i="10"/>
  <c r="D19" i="10"/>
  <c r="D21" i="10"/>
  <c r="C26" i="10"/>
  <c r="C16" i="10"/>
  <c r="D29" i="10"/>
  <c r="C20" i="10"/>
  <c r="C28" i="10"/>
  <c r="U9" i="5"/>
  <c r="U5" i="5"/>
  <c r="R7" i="5"/>
  <c r="U8" i="5"/>
  <c r="U4" i="5"/>
  <c r="R6" i="5"/>
  <c r="U7" i="5"/>
  <c r="B10" i="11" s="1"/>
  <c r="R9" i="5"/>
  <c r="R5" i="5"/>
  <c r="U6" i="5"/>
  <c r="G6" i="10" s="1"/>
  <c r="R8" i="5"/>
  <c r="R4" i="5"/>
  <c r="J1" i="14"/>
  <c r="J1" i="15"/>
  <c r="J1" i="12"/>
  <c r="J1" i="13"/>
  <c r="B18" i="13" s="1"/>
  <c r="J1" i="11"/>
  <c r="I1" i="10"/>
  <c r="J1" i="8"/>
  <c r="J6" i="8" s="1"/>
  <c r="D15" i="10"/>
  <c r="C24" i="10"/>
  <c r="D23" i="10"/>
  <c r="C17" i="10"/>
  <c r="D12" i="10"/>
  <c r="D20" i="10"/>
  <c r="D17" i="10"/>
  <c r="D4" i="13"/>
  <c r="C23" i="10"/>
  <c r="D10" i="10"/>
  <c r="D18" i="10"/>
  <c r="D22" i="10"/>
  <c r="D26" i="10"/>
  <c r="B2" i="10" l="1"/>
  <c r="C4" i="10"/>
  <c r="I19" i="11"/>
  <c r="B15" i="11"/>
  <c r="D4" i="10"/>
  <c r="C31" i="10"/>
  <c r="Q4" i="15"/>
  <c r="B14" i="15"/>
  <c r="B5" i="15"/>
  <c r="C21" i="14"/>
  <c r="I5" i="14"/>
  <c r="B8" i="14"/>
  <c r="B19" i="14"/>
  <c r="B17" i="13"/>
  <c r="B7" i="13"/>
  <c r="L4" i="11"/>
  <c r="D4" i="11"/>
  <c r="B7" i="12"/>
  <c r="B18" i="12"/>
  <c r="N21" i="12"/>
  <c r="B14" i="11"/>
  <c r="B17" i="11"/>
  <c r="J1" i="10"/>
  <c r="BW4" i="10"/>
  <c r="K6" i="10"/>
  <c r="L4" i="10"/>
  <c r="BQ4" i="10"/>
  <c r="S6" i="10"/>
  <c r="CC4" i="10"/>
  <c r="B13" i="11"/>
  <c r="B19" i="11"/>
  <c r="D19" i="11"/>
  <c r="BT6" i="10"/>
  <c r="BQ6" i="10"/>
  <c r="A43" i="15"/>
  <c r="H5" i="11"/>
  <c r="K5" i="11" s="1"/>
  <c r="BZ6" i="10"/>
  <c r="C18" i="10"/>
  <c r="V4" i="13"/>
  <c r="J4" i="13"/>
  <c r="C15" i="10"/>
  <c r="P4" i="13"/>
  <c r="S4" i="10"/>
  <c r="B15" i="13"/>
  <c r="B14" i="13"/>
  <c r="B16" i="13"/>
  <c r="B15" i="12"/>
  <c r="B10" i="12"/>
  <c r="B14" i="12"/>
  <c r="B16" i="12"/>
  <c r="B11" i="12"/>
  <c r="B12" i="12"/>
  <c r="A4" i="10"/>
  <c r="R7" i="10"/>
  <c r="L7" i="10"/>
  <c r="K7" i="10"/>
  <c r="S7" i="10"/>
  <c r="E7" i="10"/>
  <c r="B4" i="10"/>
  <c r="Z7" i="10"/>
  <c r="E4" i="10"/>
  <c r="F5" i="11"/>
  <c r="I5" i="11" s="1"/>
  <c r="G5" i="11"/>
  <c r="J5" i="11" s="1"/>
  <c r="V5" i="14"/>
  <c r="B17" i="14"/>
  <c r="B16" i="14"/>
  <c r="B15" i="14"/>
  <c r="B11" i="14"/>
  <c r="B12" i="14"/>
  <c r="B13" i="14"/>
  <c r="B12" i="13"/>
  <c r="B11" i="13"/>
  <c r="B10" i="13"/>
  <c r="B5" i="14"/>
  <c r="B17" i="12"/>
  <c r="B8" i="12"/>
  <c r="B16" i="11"/>
  <c r="B8" i="13"/>
  <c r="B2" i="14"/>
  <c r="W5" i="14"/>
  <c r="B9" i="14"/>
  <c r="C41" i="14"/>
  <c r="O21" i="14"/>
  <c r="B7" i="14"/>
  <c r="C10" i="14"/>
  <c r="K1" i="14"/>
  <c r="B14" i="14"/>
  <c r="B18" i="14"/>
  <c r="B10" i="14"/>
  <c r="C14" i="14"/>
  <c r="U5" i="14"/>
  <c r="O41" i="14"/>
  <c r="I41" i="14"/>
  <c r="F5" i="13"/>
  <c r="L5" i="13" s="1"/>
  <c r="R5" i="13" s="1"/>
  <c r="X5" i="13" s="1"/>
  <c r="H6" i="10"/>
  <c r="F6" i="12"/>
  <c r="F6" i="14"/>
  <c r="L6" i="14" s="1"/>
  <c r="R6" i="14" s="1"/>
  <c r="B15" i="15"/>
  <c r="C11" i="15"/>
  <c r="D7" i="15"/>
  <c r="D10" i="15" s="1"/>
  <c r="D13" i="15" s="1"/>
  <c r="D6" i="15"/>
  <c r="D9" i="15" s="1"/>
  <c r="D12" i="15" s="1"/>
  <c r="E6" i="14"/>
  <c r="K6" i="14" s="1"/>
  <c r="Q6" i="14" s="1"/>
  <c r="B9" i="11"/>
  <c r="E5" i="13"/>
  <c r="K5" i="13" s="1"/>
  <c r="Q5" i="13" s="1"/>
  <c r="W5" i="13" s="1"/>
  <c r="E6" i="12"/>
  <c r="D6" i="14"/>
  <c r="J6" i="14" s="1"/>
  <c r="P6" i="14" s="1"/>
  <c r="F6" i="10"/>
  <c r="D6" i="12"/>
  <c r="B8" i="11"/>
  <c r="D5" i="13"/>
  <c r="J5" i="13" s="1"/>
  <c r="P5" i="13" s="1"/>
  <c r="V5" i="13" s="1"/>
  <c r="B59" i="13"/>
  <c r="B20" i="13"/>
  <c r="B79" i="13"/>
  <c r="B39" i="13"/>
  <c r="G5" i="13"/>
  <c r="M5" i="13" s="1"/>
  <c r="S5" i="13" s="1"/>
  <c r="Y5" i="13" s="1"/>
  <c r="I6" i="10"/>
  <c r="P6" i="10" s="1"/>
  <c r="X6" i="10" s="1"/>
  <c r="AM6" i="10" s="1"/>
  <c r="BH6" i="10" s="1"/>
  <c r="G6" i="12"/>
  <c r="G6" i="14"/>
  <c r="M6" i="14" s="1"/>
  <c r="S6" i="14" s="1"/>
  <c r="B11" i="11"/>
  <c r="C5" i="13"/>
  <c r="I5" i="13" s="1"/>
  <c r="O5" i="13" s="1"/>
  <c r="U5" i="13" s="1"/>
  <c r="E6" i="10"/>
  <c r="L6" i="10" s="1"/>
  <c r="T6" i="10" s="1"/>
  <c r="AA6" i="10" s="1"/>
  <c r="AV6" i="10" s="1"/>
  <c r="C6" i="12"/>
  <c r="B7" i="11"/>
  <c r="C6" i="14"/>
  <c r="I6" i="14" s="1"/>
  <c r="O6" i="14" s="1"/>
  <c r="H6" i="14"/>
  <c r="N6" i="14" s="1"/>
  <c r="T6" i="14" s="1"/>
  <c r="J6" i="10"/>
  <c r="Q6" i="10" s="1"/>
  <c r="Y6" i="10" s="1"/>
  <c r="AP6" i="10" s="1"/>
  <c r="BK6" i="10" s="1"/>
  <c r="H6" i="12"/>
  <c r="B12" i="11"/>
  <c r="H5" i="13"/>
  <c r="N5" i="13" s="1"/>
  <c r="T5" i="13" s="1"/>
  <c r="Z5" i="13" s="1"/>
  <c r="AV4" i="10"/>
  <c r="AA4" i="10"/>
  <c r="I21" i="14"/>
  <c r="B19" i="12"/>
  <c r="K1" i="13"/>
  <c r="F21" i="12"/>
  <c r="J2" i="12"/>
  <c r="C4" i="12" s="1"/>
  <c r="J2" i="14"/>
  <c r="C5" i="14" s="1"/>
  <c r="D11" i="10"/>
  <c r="O5" i="14"/>
  <c r="D5" i="15"/>
  <c r="D8" i="15" s="1"/>
  <c r="D11" i="15" s="1"/>
  <c r="C19" i="10"/>
  <c r="I4" i="15"/>
  <c r="C10" i="10"/>
  <c r="L4" i="15"/>
  <c r="C12" i="10"/>
  <c r="F4" i="15"/>
  <c r="L1" i="15"/>
  <c r="B2" i="15"/>
  <c r="Q3" i="15"/>
  <c r="C5" i="15"/>
  <c r="C8" i="15"/>
  <c r="C11" i="10"/>
  <c r="O4" i="15"/>
  <c r="D2" i="11"/>
  <c r="C13" i="10"/>
  <c r="B9" i="12"/>
  <c r="L6" i="12"/>
  <c r="K6" i="12"/>
  <c r="C9" i="12"/>
  <c r="J6" i="12"/>
  <c r="C13" i="12"/>
  <c r="I6" i="12"/>
  <c r="B13" i="12"/>
  <c r="B21" i="12"/>
  <c r="K1" i="12"/>
  <c r="I5" i="12"/>
  <c r="B4" i="12"/>
  <c r="C5" i="12"/>
  <c r="B2" i="12"/>
  <c r="P39" i="13"/>
  <c r="P79" i="13"/>
  <c r="I79" i="13"/>
  <c r="P59" i="13"/>
  <c r="I59" i="13"/>
  <c r="I39" i="13"/>
  <c r="I20" i="13"/>
  <c r="P20" i="13"/>
  <c r="J21" i="12"/>
  <c r="B9" i="13"/>
  <c r="C13" i="13"/>
  <c r="B13" i="13"/>
  <c r="C9" i="13"/>
  <c r="B6" i="13"/>
  <c r="B4" i="13"/>
  <c r="B2" i="13"/>
  <c r="M10" i="11"/>
  <c r="M11" i="11"/>
  <c r="M12" i="11"/>
  <c r="F6" i="11"/>
  <c r="I6" i="11" s="1"/>
  <c r="S25" i="10"/>
  <c r="S17" i="10"/>
  <c r="S16" i="10"/>
  <c r="S23" i="10"/>
  <c r="S15" i="10"/>
  <c r="S30" i="10"/>
  <c r="S22" i="10"/>
  <c r="S14" i="10"/>
  <c r="S29" i="10"/>
  <c r="S21" i="10"/>
  <c r="S13" i="10"/>
  <c r="S28" i="10"/>
  <c r="S20" i="10"/>
  <c r="S12" i="10"/>
  <c r="S19" i="10"/>
  <c r="S11" i="10"/>
  <c r="S10" i="10"/>
  <c r="S24" i="10"/>
  <c r="S27" i="10"/>
  <c r="S26" i="10"/>
  <c r="S18" i="10"/>
  <c r="AP7" i="10"/>
  <c r="BB8" i="10"/>
  <c r="AD8" i="10"/>
  <c r="BE7" i="10"/>
  <c r="BK8" i="10"/>
  <c r="BB7" i="10"/>
  <c r="BN7" i="10"/>
  <c r="BW6" i="10"/>
  <c r="AE7" i="10"/>
  <c r="AC7" i="10"/>
  <c r="AY7" i="10"/>
  <c r="AI7" i="10"/>
  <c r="BF7" i="10"/>
  <c r="BK7" i="10"/>
  <c r="AH7" i="10"/>
  <c r="BN8" i="10"/>
  <c r="AM7" i="10"/>
  <c r="AF7" i="10"/>
  <c r="AW7" i="10"/>
  <c r="AL7" i="10"/>
  <c r="AJ7" i="10"/>
  <c r="AR7" i="10"/>
  <c r="AY8" i="10"/>
  <c r="AP8" i="10"/>
  <c r="AU7" i="10"/>
  <c r="AK7" i="10"/>
  <c r="AM8" i="10"/>
  <c r="BP7" i="10"/>
  <c r="AV7" i="10"/>
  <c r="AA8" i="10"/>
  <c r="BH7" i="10"/>
  <c r="AG7" i="10"/>
  <c r="BM7" i="10"/>
  <c r="AJ8" i="10"/>
  <c r="AT7" i="10"/>
  <c r="AA7" i="10"/>
  <c r="AG8" i="10"/>
  <c r="BA7" i="10"/>
  <c r="BH8" i="10"/>
  <c r="AZ7" i="10"/>
  <c r="AD7" i="10"/>
  <c r="BD7" i="10"/>
  <c r="BE8" i="10"/>
  <c r="AV8" i="10"/>
  <c r="BO7" i="10"/>
  <c r="AS7" i="10"/>
  <c r="AX7" i="10"/>
  <c r="BJ7" i="10"/>
  <c r="BL7" i="10"/>
  <c r="AO7" i="10"/>
  <c r="BC7" i="10"/>
  <c r="AN7" i="10"/>
  <c r="AS8" i="10"/>
  <c r="AQ7" i="10"/>
  <c r="BG7" i="10"/>
  <c r="BI7" i="10"/>
  <c r="AB7" i="10"/>
  <c r="I4" i="11"/>
  <c r="E4" i="11"/>
  <c r="B72" i="11"/>
  <c r="B2" i="11"/>
  <c r="L1" i="11"/>
  <c r="B4" i="11"/>
  <c r="C4" i="11"/>
  <c r="F4" i="11"/>
  <c r="B71" i="11"/>
  <c r="A43" i="8"/>
  <c r="D39" i="8"/>
  <c r="C38" i="8"/>
  <c r="J32" i="8"/>
  <c r="D27" i="8"/>
  <c r="C22" i="8"/>
  <c r="J16" i="8"/>
  <c r="D11" i="8"/>
  <c r="A42" i="8"/>
  <c r="C35" i="8"/>
  <c r="J29" i="8"/>
  <c r="D24" i="8"/>
  <c r="C19" i="8"/>
  <c r="J13" i="8"/>
  <c r="AE8" i="8"/>
  <c r="AQ7" i="8"/>
  <c r="AA7" i="8"/>
  <c r="AT6" i="8"/>
  <c r="E4" i="8"/>
  <c r="J38" i="8"/>
  <c r="D33" i="8"/>
  <c r="C28" i="8"/>
  <c r="J22" i="8"/>
  <c r="D17" i="8"/>
  <c r="C12" i="8"/>
  <c r="P8" i="8"/>
  <c r="AL7" i="8"/>
  <c r="V7" i="8"/>
  <c r="C4" i="8"/>
  <c r="T7" i="8"/>
  <c r="AZ7" i="8"/>
  <c r="D26" i="8"/>
  <c r="D4" i="8"/>
  <c r="AX6" i="8"/>
  <c r="AS7" i="8"/>
  <c r="D22" i="8"/>
  <c r="B2" i="8"/>
  <c r="O6" i="8"/>
  <c r="AN7" i="8"/>
  <c r="D18" i="8"/>
  <c r="J39" i="8"/>
  <c r="Q7" i="8"/>
  <c r="AW7" i="8"/>
  <c r="C25" i="8"/>
  <c r="J36" i="8"/>
  <c r="D31" i="8"/>
  <c r="C26" i="8"/>
  <c r="J20" i="8"/>
  <c r="D15" i="8"/>
  <c r="C10" i="8"/>
  <c r="C39" i="8"/>
  <c r="J33" i="8"/>
  <c r="D28" i="8"/>
  <c r="C23" i="8"/>
  <c r="J17" i="8"/>
  <c r="D12" i="8"/>
  <c r="S8" i="8"/>
  <c r="AM7" i="8"/>
  <c r="W7" i="8"/>
  <c r="A4" i="8"/>
  <c r="D37" i="8"/>
  <c r="C32" i="8"/>
  <c r="J26" i="8"/>
  <c r="D21" i="8"/>
  <c r="C16" i="8"/>
  <c r="J10" i="8"/>
  <c r="AX7" i="8"/>
  <c r="AH7" i="8"/>
  <c r="R7" i="8"/>
  <c r="AE4" i="8"/>
  <c r="AB7" i="8"/>
  <c r="D10" i="8"/>
  <c r="J31" i="8"/>
  <c r="AV4" i="8"/>
  <c r="U7" i="8"/>
  <c r="BA7" i="8"/>
  <c r="J27" i="8"/>
  <c r="J4" i="8"/>
  <c r="P7" i="8"/>
  <c r="AV7" i="8"/>
  <c r="J23" i="8"/>
  <c r="B4" i="8"/>
  <c r="Y7" i="8"/>
  <c r="AK8" i="8"/>
  <c r="D30" i="8"/>
  <c r="D35" i="8"/>
  <c r="C34" i="8"/>
  <c r="D23" i="8"/>
  <c r="J12" i="8"/>
  <c r="D36" i="8"/>
  <c r="J25" i="8"/>
  <c r="C15" i="8"/>
  <c r="AU7" i="8"/>
  <c r="J7" i="8"/>
  <c r="A41" i="8"/>
  <c r="D29" i="8"/>
  <c r="J18" i="8"/>
  <c r="AB8" i="8"/>
  <c r="Z7" i="8"/>
  <c r="AV6" i="8"/>
  <c r="C21" i="8"/>
  <c r="AB6" i="8"/>
  <c r="C17" i="8"/>
  <c r="I6" i="8"/>
  <c r="C13" i="8"/>
  <c r="E6" i="8"/>
  <c r="J19" i="8"/>
  <c r="C29" i="8"/>
  <c r="J35" i="8"/>
  <c r="V8" i="8"/>
  <c r="AE7" i="8"/>
  <c r="C24" i="8"/>
  <c r="AQ6" i="8"/>
  <c r="D38" i="8"/>
  <c r="AO7" i="8"/>
  <c r="J24" i="8"/>
  <c r="C27" i="8"/>
  <c r="S7" i="8"/>
  <c r="A45" i="8"/>
  <c r="AN8" i="8"/>
  <c r="H6" i="8"/>
  <c r="Y8" i="8"/>
  <c r="D14" i="8"/>
  <c r="C30" i="8"/>
  <c r="D19" i="8"/>
  <c r="AH8" i="8"/>
  <c r="D32" i="8"/>
  <c r="J21" i="8"/>
  <c r="C11" i="8"/>
  <c r="AI7" i="8"/>
  <c r="F6" i="8"/>
  <c r="C36" i="8"/>
  <c r="D25" i="8"/>
  <c r="J14" i="8"/>
  <c r="AT7" i="8"/>
  <c r="E7" i="8"/>
  <c r="AJ7" i="8"/>
  <c r="C37" i="8"/>
  <c r="AC7" i="8"/>
  <c r="C33" i="8"/>
  <c r="X7" i="8"/>
  <c r="AG7" i="8"/>
  <c r="AQ8" i="8"/>
  <c r="J34" i="8"/>
  <c r="AP7" i="8"/>
  <c r="K1" i="8"/>
  <c r="AF7" i="8"/>
  <c r="A44" i="8"/>
  <c r="J37" i="8"/>
  <c r="AY7" i="8"/>
  <c r="C20" i="8"/>
  <c r="G6" i="8"/>
  <c r="M6" i="8" s="1"/>
  <c r="V6" i="8" s="1"/>
  <c r="AK6" i="8" s="1"/>
  <c r="J11" i="8"/>
  <c r="P4" i="8"/>
  <c r="J28" i="8"/>
  <c r="C18" i="8"/>
  <c r="C31" i="8"/>
  <c r="D20" i="8"/>
  <c r="AT4" i="8"/>
  <c r="D13" i="8"/>
  <c r="AR7" i="8"/>
  <c r="AK7" i="8"/>
  <c r="D34" i="8"/>
  <c r="C14" i="8"/>
  <c r="D16" i="8"/>
  <c r="J30" i="8"/>
  <c r="AD7" i="8"/>
  <c r="J15" i="8"/>
  <c r="AZ4" i="8"/>
  <c r="O15" i="14"/>
  <c r="BS7" i="10" l="1"/>
  <c r="BV7" i="10" s="1"/>
  <c r="BR7" i="10"/>
  <c r="BU7" i="10" s="1"/>
  <c r="E17" i="15"/>
  <c r="O17" i="15"/>
  <c r="B17" i="15"/>
  <c r="J17" i="15"/>
  <c r="B47" i="12"/>
  <c r="B46" i="12"/>
  <c r="B45" i="12"/>
  <c r="B44" i="12"/>
  <c r="R6" i="10"/>
  <c r="O6" i="10"/>
  <c r="N6" i="10"/>
  <c r="M6" i="10"/>
  <c r="P6" i="8"/>
  <c r="AE6" i="8" s="1"/>
  <c r="K6" i="8"/>
  <c r="N6" i="8"/>
  <c r="Y6" i="8"/>
  <c r="AN6" i="8" s="1"/>
  <c r="S6" i="8"/>
  <c r="AH6" i="8" s="1"/>
  <c r="L6" i="8"/>
  <c r="P17" i="14"/>
  <c r="O17" i="14"/>
  <c r="O9" i="14"/>
  <c r="O7" i="14"/>
  <c r="Q16" i="14"/>
  <c r="O16" i="14"/>
  <c r="P16" i="14"/>
  <c r="O8" i="14"/>
  <c r="T15" i="14"/>
  <c r="Q11" i="14"/>
  <c r="P9" i="14"/>
  <c r="P12" i="14"/>
  <c r="Q13" i="14"/>
  <c r="Q7" i="14"/>
  <c r="P13" i="14"/>
  <c r="Q9" i="14"/>
  <c r="Q12" i="14"/>
  <c r="P8" i="14"/>
  <c r="P7" i="14"/>
  <c r="P11" i="14"/>
  <c r="Q15" i="14"/>
  <c r="Q8" i="14"/>
  <c r="O12" i="14"/>
  <c r="O13" i="14"/>
  <c r="P15" i="14"/>
  <c r="Q17" i="14"/>
  <c r="O11" i="14"/>
  <c r="BY7" i="10" l="1"/>
  <c r="CB7" i="10" s="1"/>
  <c r="CE6" i="10"/>
  <c r="CD6" i="10"/>
  <c r="U6" i="10"/>
  <c r="AD6" i="10" s="1"/>
  <c r="AY6" i="10" s="1"/>
  <c r="W6" i="10"/>
  <c r="AJ6" i="10" s="1"/>
  <c r="BE6" i="10" s="1"/>
  <c r="V6" i="10"/>
  <c r="AG6" i="10" s="1"/>
  <c r="BB6" i="10" s="1"/>
  <c r="Z6" i="10"/>
  <c r="AS6" i="10" s="1"/>
  <c r="BN6" i="10" s="1"/>
  <c r="T16" i="14"/>
  <c r="T8" i="14"/>
  <c r="T12" i="14"/>
  <c r="S16" i="14"/>
  <c r="S12" i="14"/>
  <c r="T13" i="14"/>
  <c r="R12" i="14"/>
  <c r="T17" i="14"/>
  <c r="R8" i="14"/>
  <c r="T7" i="14"/>
  <c r="R9" i="14"/>
  <c r="S13" i="14"/>
  <c r="R11" i="14"/>
  <c r="S17" i="14"/>
  <c r="R16" i="14"/>
  <c r="R13" i="14"/>
  <c r="T9" i="14"/>
  <c r="S7" i="14"/>
  <c r="R15" i="14"/>
  <c r="T11" i="14"/>
  <c r="S9" i="14"/>
  <c r="R7" i="14"/>
  <c r="R17" i="14"/>
  <c r="S8" i="14"/>
  <c r="S15" i="14"/>
  <c r="S11" i="14"/>
  <c r="BQ7" i="10" l="1"/>
  <c r="BT7" i="10" s="1"/>
  <c r="BX7" i="10"/>
  <c r="CA7" i="10" s="1"/>
  <c r="BW7" i="10" l="1"/>
  <c r="BZ7" i="10" s="1"/>
  <c r="CC6" i="10"/>
</calcChain>
</file>

<file path=xl/sharedStrings.xml><?xml version="1.0" encoding="utf-8"?>
<sst xmlns="http://schemas.openxmlformats.org/spreadsheetml/2006/main" count="141" uniqueCount="95">
  <si>
    <t>NKB</t>
  </si>
  <si>
    <t>Банк</t>
  </si>
  <si>
    <t>АТ КБ "ПриватБанк"</t>
  </si>
  <si>
    <t>АТ "Ощадбанк"</t>
  </si>
  <si>
    <t>АТ "Укрексімбанк"</t>
  </si>
  <si>
    <t>АБ "УКРГАЗБАНК"</t>
  </si>
  <si>
    <t>АТ "СЕНС БАНК"</t>
  </si>
  <si>
    <t>АТ "Райффайзен Банк"</t>
  </si>
  <si>
    <t>АТ "УКРСИББАНК"</t>
  </si>
  <si>
    <t>АТ "ОТП БАНК"</t>
  </si>
  <si>
    <t>АТ "КРЕДІ АГРІКОЛЬ БАНК"</t>
  </si>
  <si>
    <t>АТ "ПРОКРЕДИТ БАНК"</t>
  </si>
  <si>
    <t>АТ "КРЕДОБАНК"</t>
  </si>
  <si>
    <t>АТ "ПРАВЕКС БАНК"</t>
  </si>
  <si>
    <t>АТ "ПУМБ"</t>
  </si>
  <si>
    <t>Акціонерний банк "Південний"</t>
  </si>
  <si>
    <t>АТ "ТАСКОМБАНК"</t>
  </si>
  <si>
    <t>АТ "УНІВЕРСАЛ БАНК"</t>
  </si>
  <si>
    <t>АТ "БАНК КРЕДИТ ДНІПРО"</t>
  </si>
  <si>
    <t>АТ "А - БАНК"</t>
  </si>
  <si>
    <t>ПАТ "МТБ БАНК"</t>
  </si>
  <si>
    <t>АТ АКБ “Львів”</t>
  </si>
  <si>
    <t>Група</t>
  </si>
  <si>
    <t>Банки з державною часткою</t>
  </si>
  <si>
    <t>Банки іноземних банківських груп</t>
  </si>
  <si>
    <t>Банки з приватним капіталом</t>
  </si>
  <si>
    <t>Приватбанк</t>
  </si>
  <si>
    <t>Oschadbank</t>
  </si>
  <si>
    <t>Ощадбанк</t>
  </si>
  <si>
    <t>Ukreximbank</t>
  </si>
  <si>
    <t>Укрексімбанк</t>
  </si>
  <si>
    <t>Ukrgasbank</t>
  </si>
  <si>
    <t>Укргазбанк</t>
  </si>
  <si>
    <t>Raiffeisen Bank</t>
  </si>
  <si>
    <t>Райффайзен Банк</t>
  </si>
  <si>
    <t>Ukrsibbank</t>
  </si>
  <si>
    <t>УкрСиббанк</t>
  </si>
  <si>
    <t>OTP Bank</t>
  </si>
  <si>
    <t>ОТП Банк</t>
  </si>
  <si>
    <t>Credit Agricole Bank</t>
  </si>
  <si>
    <t>Креді Агріколь Банк</t>
  </si>
  <si>
    <t>Kredobank</t>
  </si>
  <si>
    <t>Кредобанк</t>
  </si>
  <si>
    <t>FUIB</t>
  </si>
  <si>
    <t>ПУМБ</t>
  </si>
  <si>
    <t>Pivdennyi</t>
  </si>
  <si>
    <t>Південний</t>
  </si>
  <si>
    <t>Taskombank</t>
  </si>
  <si>
    <t>Таскомбанк</t>
  </si>
  <si>
    <t>A-Bank</t>
  </si>
  <si>
    <t>А - Банк</t>
  </si>
  <si>
    <t>Lviv</t>
  </si>
  <si>
    <t>Львів</t>
  </si>
  <si>
    <t>State-owned banks</t>
  </si>
  <si>
    <t>Foreign banks</t>
  </si>
  <si>
    <t>Private banks</t>
  </si>
  <si>
    <t>Name</t>
  </si>
  <si>
    <t>Назва</t>
  </si>
  <si>
    <t>Group</t>
  </si>
  <si>
    <t>UA</t>
  </si>
  <si>
    <t>ENG</t>
  </si>
  <si>
    <t>Змінити мову тут</t>
  </si>
  <si>
    <t>Change language here</t>
  </si>
  <si>
    <t xml:space="preserve">Required capital adequacy ratios for Pravex bank were updated according to the approved of restructuring/capitalization plan. After measures taken and planned by the bank the required regulatory capital adequacy ratio decreased from 29.1% to 25.8% , required core capital ratio – from 29.1% to 25.8%. </t>
  </si>
  <si>
    <t>Оновлено необхідні  рівні нормативів достатності (адекватності) регулятивного капіталу (Н2) та достатності основного капіталу (H3) для АТ “ПРАВЕКС БАНК” відповідно до погодженої НБУ програми реструктуризації/капіталізації. З урахуванням вжитих і запланованих заходів необхідний рівень знизився з 29.1% до 25.8% за Н2, з 29.1% до 25.8% за Н3.</t>
  </si>
  <si>
    <t>( % )</t>
  </si>
  <si>
    <t>-</t>
  </si>
  <si>
    <t>ОК1, млн грн</t>
  </si>
  <si>
    <t>К1, млн грн</t>
  </si>
  <si>
    <t>РК, млн грн</t>
  </si>
  <si>
    <t>Regulatory capital ratio</t>
  </si>
  <si>
    <t>Tier 1 ratio</t>
  </si>
  <si>
    <t>АТ "ВСТ БАНК"</t>
  </si>
  <si>
    <t>Common Equity Tier 1 capital ratio</t>
  </si>
  <si>
    <t>PrivatBank</t>
  </si>
  <si>
    <t>Common Equity Tier 1 capital, UAH mln</t>
  </si>
  <si>
    <t>Tier 1 capital, UAH mln</t>
  </si>
  <si>
    <t>Regulatory capital, UAH mln</t>
  </si>
  <si>
    <t>НРК</t>
  </si>
  <si>
    <t>НК1</t>
  </si>
  <si>
    <t>НОК1</t>
  </si>
  <si>
    <t>Pravex Bank</t>
  </si>
  <si>
    <t>Sense Bank</t>
  </si>
  <si>
    <t>Procredit Bank</t>
  </si>
  <si>
    <t>Universal Bank</t>
  </si>
  <si>
    <t>Bank Credit Dnipro</t>
  </si>
  <si>
    <t>VST Bank</t>
  </si>
  <si>
    <t>MTB Bank</t>
  </si>
  <si>
    <t>Сенс Банк</t>
  </si>
  <si>
    <t>Прокредит Банк</t>
  </si>
  <si>
    <t>Правекс Банк</t>
  </si>
  <si>
    <t>Універсал Банк</t>
  </si>
  <si>
    <t>Банк Кредит Дніпро</t>
  </si>
  <si>
    <t>ВСТ Банк</t>
  </si>
  <si>
    <t>МТБ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</si>
</sst>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  <numFmt numFmtId="167" formatCode="_-* #,##0.00000_-;\-* #,##0.00000_-;_-* &quot;-&quot;??_-;_-@_-"/>
    <numFmt numFmtId="168" formatCode="0.000%"/>
    <numFmt numFmtId="169" formatCode="_-* #,##0.0\ _₴_-;\-* #,##0.0\ _₴_-;_-* &quot;-&quot;?\ _₴_-;_-@_-"/>
    <numFmt numFmtId="170" formatCode="_-* #,##0.000\ _₴_-;\-* #,##0.000\ _₴_-;_-* &quot;-&quot;???\ _₴_-;_-@_-"/>
    <numFmt numFmtId="171" formatCode="_-* #,##0.00\ _₴_-;\-* #,##0.00\ _₴_-;_-* &quot;-&quot;??\ _₴_-;_-@_-"/>
    <numFmt numFmtId="172" formatCode="#,##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7.5"/>
      <color rgb="FF7D0532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sz val="7.5"/>
      <color theme="1"/>
      <name val="Arial"/>
      <family val="2"/>
      <charset val="204"/>
    </font>
    <font>
      <sz val="7.5"/>
      <name val="Arial"/>
      <family val="2"/>
      <charset val="204"/>
    </font>
    <font>
      <b/>
      <sz val="10"/>
      <color rgb="FF005591"/>
      <name val="Arial"/>
      <family val="2"/>
      <charset val="204"/>
    </font>
    <font>
      <b/>
      <sz val="10"/>
      <color rgb="FF7D0532"/>
      <name val="Arial"/>
      <family val="2"/>
      <charset val="204"/>
    </font>
    <font>
      <b/>
      <sz val="7.5"/>
      <color rgb="FF7D0532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i/>
      <sz val="10"/>
      <color rgb="FF005591"/>
      <name val="Arial"/>
      <family val="2"/>
      <charset val="204"/>
    </font>
    <font>
      <sz val="7.5"/>
      <color theme="9"/>
      <name val="Arial"/>
      <family val="2"/>
      <charset val="204"/>
    </font>
    <font>
      <sz val="8"/>
      <color theme="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DEF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46AFE6"/>
      </bottom>
      <diagonal/>
    </border>
    <border>
      <left/>
      <right/>
      <top style="thin">
        <color rgb="FF46AFE6"/>
      </top>
      <bottom/>
      <diagonal/>
    </border>
    <border>
      <left style="dotted">
        <color rgb="FF46AFE6"/>
      </left>
      <right style="dotted">
        <color rgb="FF46AFE6"/>
      </right>
      <top style="thin">
        <color rgb="FF46AFE6"/>
      </top>
      <bottom style="dotted">
        <color rgb="FF46AFE6"/>
      </bottom>
      <diagonal/>
    </border>
    <border>
      <left style="dotted">
        <color rgb="FF46AFE6"/>
      </left>
      <right style="dotted">
        <color rgb="FF46AFE6"/>
      </right>
      <top style="dotted">
        <color rgb="FF46AFE6"/>
      </top>
      <bottom style="dotted">
        <color rgb="FF46AFE6"/>
      </bottom>
      <diagonal/>
    </border>
    <border>
      <left/>
      <right style="dotted">
        <color rgb="FF46AFE6"/>
      </right>
      <top/>
      <bottom/>
      <diagonal/>
    </border>
    <border>
      <left style="dotted">
        <color rgb="FF46AFE6"/>
      </left>
      <right/>
      <top/>
      <bottom/>
      <diagonal/>
    </border>
    <border>
      <left style="dotted">
        <color rgb="FF46AFE6"/>
      </left>
      <right/>
      <top style="dotted">
        <color rgb="FF46AFE6"/>
      </top>
      <bottom style="dotted">
        <color rgb="FF46AFE6"/>
      </bottom>
      <diagonal/>
    </border>
    <border>
      <left/>
      <right/>
      <top style="dotted">
        <color rgb="FF46AFE6"/>
      </top>
      <bottom style="dotted">
        <color rgb="FF46AFE6"/>
      </bottom>
      <diagonal/>
    </border>
    <border>
      <left/>
      <right style="dotted">
        <color rgb="FF46AFE6"/>
      </right>
      <top style="dotted">
        <color rgb="FF46AFE6"/>
      </top>
      <bottom style="dotted">
        <color rgb="FF46AFE6"/>
      </bottom>
      <diagonal/>
    </border>
    <border>
      <left style="dotted">
        <color rgb="FF46AFE6"/>
      </left>
      <right style="dotted">
        <color rgb="FF46AFE6"/>
      </right>
      <top/>
      <bottom style="dotted">
        <color rgb="FF46AFE6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rgb="FF46AFE6"/>
      </bottom>
      <diagonal/>
    </border>
    <border>
      <left/>
      <right/>
      <top style="thin">
        <color theme="4" tint="-0.24994659260841701"/>
      </top>
      <bottom style="thin">
        <color rgb="FF46AFE6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rgb="FF46AFE6"/>
      </bottom>
      <diagonal/>
    </border>
    <border>
      <left/>
      <right/>
      <top style="thin">
        <color rgb="FF46AFE6"/>
      </top>
      <bottom style="thin">
        <color rgb="FF46AFE6"/>
      </bottom>
      <diagonal/>
    </border>
    <border>
      <left/>
      <right style="dotted">
        <color rgb="FF46AFE6"/>
      </right>
      <top style="dotted">
        <color rgb="FF46AFE6"/>
      </top>
      <bottom/>
      <diagonal/>
    </border>
    <border>
      <left/>
      <right/>
      <top style="dotted">
        <color rgb="FF46AFE6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4" fillId="0" borderId="0"/>
    <xf numFmtId="0" fontId="3" fillId="0" borderId="0"/>
    <xf numFmtId="9" fontId="4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44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5" fillId="4" borderId="1" xfId="0" quotePrefix="1" applyFont="1" applyFill="1" applyBorder="1"/>
    <xf numFmtId="0" fontId="6" fillId="0" borderId="0" xfId="0" applyFont="1"/>
    <xf numFmtId="0" fontId="6" fillId="2" borderId="0" xfId="0" applyFont="1" applyFill="1"/>
    <xf numFmtId="0" fontId="6" fillId="0" borderId="0" xfId="0" applyFont="1" applyBorder="1"/>
    <xf numFmtId="0" fontId="7" fillId="4" borderId="0" xfId="0" quotePrefix="1" applyFont="1" applyFill="1" applyBorder="1"/>
    <xf numFmtId="0" fontId="2" fillId="0" borderId="0" xfId="13" applyFont="1" applyBorder="1"/>
    <xf numFmtId="0" fontId="8" fillId="4" borderId="0" xfId="0" applyFont="1" applyFill="1" applyAlignment="1">
      <alignment horizontal="right"/>
    </xf>
    <xf numFmtId="0" fontId="5" fillId="4" borderId="0" xfId="0" applyFont="1" applyFill="1"/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5" fillId="4" borderId="0" xfId="0" applyFont="1" applyFill="1" applyBorder="1"/>
    <xf numFmtId="0" fontId="10" fillId="4" borderId="0" xfId="0" applyFont="1" applyFill="1"/>
    <xf numFmtId="0" fontId="12" fillId="4" borderId="0" xfId="15" quotePrefix="1" applyFont="1" applyFill="1" applyAlignment="1">
      <alignment horizontal="left"/>
    </xf>
    <xf numFmtId="0" fontId="12" fillId="4" borderId="0" xfId="15" quotePrefix="1" applyFont="1" applyFill="1" applyAlignment="1">
      <alignment wrapText="1"/>
    </xf>
    <xf numFmtId="0" fontId="13" fillId="4" borderId="0" xfId="15" quotePrefix="1" applyFont="1" applyFill="1" applyAlignment="1">
      <alignment wrapText="1"/>
    </xf>
    <xf numFmtId="3" fontId="5" fillId="4" borderId="1" xfId="0" applyNumberFormat="1" applyFont="1" applyFill="1" applyBorder="1"/>
    <xf numFmtId="165" fontId="5" fillId="4" borderId="0" xfId="0" applyNumberFormat="1" applyFont="1" applyFill="1"/>
    <xf numFmtId="3" fontId="5" fillId="4" borderId="0" xfId="0" applyNumberFormat="1" applyFont="1" applyFill="1"/>
    <xf numFmtId="43" fontId="5" fillId="4" borderId="0" xfId="14" applyFont="1" applyFill="1"/>
    <xf numFmtId="0" fontId="2" fillId="4" borderId="0" xfId="0" applyFont="1" applyFill="1"/>
    <xf numFmtId="3" fontId="5" fillId="0" borderId="1" xfId="0" applyNumberFormat="1" applyFont="1" applyFill="1" applyBorder="1"/>
    <xf numFmtId="0" fontId="2" fillId="4" borderId="1" xfId="0" applyFont="1" applyFill="1" applyBorder="1"/>
    <xf numFmtId="0" fontId="5" fillId="4" borderId="0" xfId="0" quotePrefix="1" applyFont="1" applyFill="1" applyBorder="1"/>
    <xf numFmtId="164" fontId="5" fillId="4" borderId="0" xfId="0" applyNumberFormat="1" applyFont="1" applyFill="1" applyBorder="1"/>
    <xf numFmtId="0" fontId="14" fillId="4" borderId="0" xfId="0" applyFont="1" applyFill="1"/>
    <xf numFmtId="0" fontId="5" fillId="4" borderId="0" xfId="10" applyFont="1" applyFill="1"/>
    <xf numFmtId="0" fontId="8" fillId="4" borderId="0" xfId="10" applyFont="1" applyFill="1" applyAlignment="1">
      <alignment horizontal="right"/>
    </xf>
    <xf numFmtId="0" fontId="10" fillId="4" borderId="0" xfId="10" applyFont="1" applyFill="1"/>
    <xf numFmtId="0" fontId="9" fillId="4" borderId="0" xfId="10" applyFont="1" applyFill="1"/>
    <xf numFmtId="0" fontId="15" fillId="4" borderId="0" xfId="10" applyFont="1" applyFill="1" applyAlignment="1">
      <alignment horizontal="right" vertical="center"/>
    </xf>
    <xf numFmtId="0" fontId="16" fillId="4" borderId="0" xfId="10" applyFont="1" applyFill="1" applyBorder="1" applyAlignment="1">
      <alignment horizontal="left" vertical="center"/>
    </xf>
    <xf numFmtId="0" fontId="12" fillId="4" borderId="0" xfId="10" applyFont="1" applyFill="1" applyBorder="1" applyAlignment="1">
      <alignment vertical="center"/>
    </xf>
    <xf numFmtId="0" fontId="5" fillId="4" borderId="14" xfId="10" applyFont="1" applyFill="1" applyBorder="1"/>
    <xf numFmtId="0" fontId="5" fillId="4" borderId="14" xfId="10" applyFont="1" applyFill="1" applyBorder="1" applyAlignment="1">
      <alignment horizontal="right"/>
    </xf>
    <xf numFmtId="3" fontId="5" fillId="4" borderId="16" xfId="10" applyNumberFormat="1" applyFont="1" applyFill="1" applyBorder="1" applyAlignment="1">
      <alignment horizontal="right"/>
    </xf>
    <xf numFmtId="3" fontId="5" fillId="4" borderId="16" xfId="10" applyNumberFormat="1" applyFont="1" applyFill="1" applyBorder="1" applyAlignment="1">
      <alignment horizontal="center" vertical="center"/>
    </xf>
    <xf numFmtId="3" fontId="5" fillId="4" borderId="0" xfId="10" applyNumberFormat="1" applyFont="1" applyFill="1"/>
    <xf numFmtId="165" fontId="5" fillId="4" borderId="0" xfId="10" applyNumberFormat="1" applyFont="1" applyFill="1"/>
    <xf numFmtId="3" fontId="5" fillId="6" borderId="17" xfId="10" applyNumberFormat="1" applyFont="1" applyFill="1" applyBorder="1" applyAlignment="1">
      <alignment horizontal="right"/>
    </xf>
    <xf numFmtId="3" fontId="5" fillId="6" borderId="17" xfId="10" applyNumberFormat="1" applyFont="1" applyFill="1" applyBorder="1" applyAlignment="1">
      <alignment horizontal="center" vertical="center"/>
    </xf>
    <xf numFmtId="3" fontId="5" fillId="4" borderId="17" xfId="10" applyNumberFormat="1" applyFont="1" applyFill="1" applyBorder="1" applyAlignment="1">
      <alignment horizontal="right"/>
    </xf>
    <xf numFmtId="3" fontId="5" fillId="4" borderId="17" xfId="10" applyNumberFormat="1" applyFont="1" applyFill="1" applyBorder="1" applyAlignment="1">
      <alignment horizontal="center" vertical="center"/>
    </xf>
    <xf numFmtId="165" fontId="5" fillId="6" borderId="17" xfId="12" applyNumberFormat="1" applyFont="1" applyFill="1" applyBorder="1" applyAlignment="1">
      <alignment horizontal="right"/>
    </xf>
    <xf numFmtId="165" fontId="5" fillId="4" borderId="17" xfId="12" applyNumberFormat="1" applyFont="1" applyFill="1" applyBorder="1" applyAlignment="1">
      <alignment horizontal="right"/>
    </xf>
    <xf numFmtId="0" fontId="18" fillId="4" borderId="0" xfId="10" applyFont="1" applyFill="1" applyAlignment="1">
      <alignment horizontal="left" vertical="center"/>
    </xf>
    <xf numFmtId="0" fontId="5" fillId="4" borderId="18" xfId="10" applyFont="1" applyFill="1" applyBorder="1"/>
    <xf numFmtId="0" fontId="16" fillId="0" borderId="0" xfId="10" applyFont="1" applyFill="1" applyAlignment="1">
      <alignment horizontal="left"/>
    </xf>
    <xf numFmtId="0" fontId="5" fillId="4" borderId="0" xfId="10" applyFont="1" applyFill="1" applyBorder="1"/>
    <xf numFmtId="0" fontId="16" fillId="4" borderId="0" xfId="10" applyFont="1" applyFill="1"/>
    <xf numFmtId="3" fontId="5" fillId="4" borderId="0" xfId="10" applyNumberFormat="1" applyFont="1" applyFill="1" applyBorder="1"/>
    <xf numFmtId="165" fontId="5" fillId="4" borderId="0" xfId="10" applyNumberFormat="1" applyFont="1" applyFill="1" applyBorder="1"/>
    <xf numFmtId="0" fontId="14" fillId="4" borderId="0" xfId="10" applyFont="1" applyFill="1"/>
    <xf numFmtId="0" fontId="20" fillId="4" borderId="14" xfId="10" applyFont="1" applyFill="1" applyBorder="1"/>
    <xf numFmtId="172" fontId="5" fillId="4" borderId="17" xfId="10" applyNumberFormat="1" applyFont="1" applyFill="1" applyBorder="1" applyAlignment="1">
      <alignment horizontal="right"/>
    </xf>
    <xf numFmtId="0" fontId="9" fillId="0" borderId="0" xfId="10" applyFont="1" applyFill="1"/>
    <xf numFmtId="165" fontId="5" fillId="4" borderId="0" xfId="12" applyNumberFormat="1" applyFont="1" applyFill="1" applyBorder="1"/>
    <xf numFmtId="0" fontId="5" fillId="4" borderId="19" xfId="10" applyFont="1" applyFill="1" applyBorder="1"/>
    <xf numFmtId="165" fontId="5" fillId="4" borderId="17" xfId="12" applyNumberFormat="1" applyFont="1" applyFill="1" applyBorder="1"/>
    <xf numFmtId="0" fontId="5" fillId="4" borderId="17" xfId="10" applyFont="1" applyFill="1" applyBorder="1"/>
    <xf numFmtId="3" fontId="5" fillId="4" borderId="17" xfId="10" applyNumberFormat="1" applyFont="1" applyFill="1" applyBorder="1"/>
    <xf numFmtId="0" fontId="5" fillId="6" borderId="17" xfId="10" applyFont="1" applyFill="1" applyBorder="1" applyAlignment="1">
      <alignment vertical="center" wrapText="1"/>
    </xf>
    <xf numFmtId="0" fontId="2" fillId="4" borderId="17" xfId="10" applyFont="1" applyFill="1" applyBorder="1" applyAlignment="1">
      <alignment horizontal="left" vertical="center" wrapText="1"/>
    </xf>
    <xf numFmtId="3" fontId="5" fillId="4" borderId="17" xfId="12" applyNumberFormat="1" applyFont="1" applyFill="1" applyBorder="1"/>
    <xf numFmtId="3" fontId="5" fillId="4" borderId="0" xfId="12" applyNumberFormat="1" applyFont="1" applyFill="1" applyBorder="1"/>
    <xf numFmtId="0" fontId="9" fillId="4" borderId="0" xfId="10" applyFont="1" applyFill="1" applyAlignment="1">
      <alignment horizontal="center" vertical="center" wrapText="1"/>
    </xf>
    <xf numFmtId="0" fontId="17" fillId="5" borderId="0" xfId="10" applyFont="1" applyFill="1" applyBorder="1" applyAlignment="1">
      <alignment horizontal="center" vertical="center" wrapText="1"/>
    </xf>
    <xf numFmtId="0" fontId="17" fillId="5" borderId="14" xfId="10" applyFont="1" applyFill="1" applyBorder="1" applyAlignment="1">
      <alignment horizontal="center" vertical="center" wrapText="1"/>
    </xf>
    <xf numFmtId="0" fontId="9" fillId="4" borderId="0" xfId="10" applyFont="1" applyFill="1" applyAlignment="1">
      <alignment horizontal="center" vertical="center"/>
    </xf>
    <xf numFmtId="0" fontId="20" fillId="4" borderId="0" xfId="10" applyFont="1" applyFill="1"/>
    <xf numFmtId="0" fontId="5" fillId="0" borderId="1" xfId="0" applyFont="1" applyFill="1" applyBorder="1"/>
    <xf numFmtId="0" fontId="5" fillId="0" borderId="1" xfId="0" quotePrefix="1" applyFont="1" applyFill="1" applyBorder="1"/>
    <xf numFmtId="165" fontId="5" fillId="0" borderId="0" xfId="0" applyNumberFormat="1" applyFont="1" applyFill="1"/>
    <xf numFmtId="3" fontId="5" fillId="0" borderId="0" xfId="0" applyNumberFormat="1" applyFont="1" applyFill="1"/>
    <xf numFmtId="0" fontId="2" fillId="0" borderId="0" xfId="0" applyFont="1" applyFill="1"/>
    <xf numFmtId="3" fontId="5" fillId="4" borderId="23" xfId="10" applyNumberFormat="1" applyFont="1" applyFill="1" applyBorder="1"/>
    <xf numFmtId="165" fontId="5" fillId="4" borderId="23" xfId="12" applyNumberFormat="1" applyFont="1" applyFill="1" applyBorder="1"/>
    <xf numFmtId="0" fontId="9" fillId="4" borderId="0" xfId="10" applyFont="1" applyFill="1" applyAlignment="1">
      <alignment vertical="center" wrapText="1"/>
    </xf>
    <xf numFmtId="0" fontId="21" fillId="3" borderId="0" xfId="0" applyFont="1" applyFill="1" applyAlignment="1">
      <alignment horizontal="center"/>
    </xf>
    <xf numFmtId="0" fontId="22" fillId="4" borderId="0" xfId="10" applyFont="1" applyFill="1"/>
    <xf numFmtId="0" fontId="17" fillId="4" borderId="0" xfId="10" applyFont="1" applyFill="1"/>
    <xf numFmtId="9" fontId="5" fillId="4" borderId="23" xfId="10" applyNumberFormat="1" applyFont="1" applyFill="1" applyBorder="1"/>
    <xf numFmtId="9" fontId="5" fillId="4" borderId="0" xfId="10" applyNumberFormat="1" applyFont="1" applyFill="1"/>
    <xf numFmtId="9" fontId="5" fillId="4" borderId="17" xfId="10" applyNumberFormat="1" applyFont="1" applyFill="1" applyBorder="1"/>
    <xf numFmtId="0" fontId="5" fillId="6" borderId="20" xfId="10" applyFont="1" applyFill="1" applyBorder="1" applyAlignment="1">
      <alignment vertical="center" wrapText="1"/>
    </xf>
    <xf numFmtId="0" fontId="15" fillId="5" borderId="15" xfId="10" applyFont="1" applyFill="1" applyBorder="1" applyAlignment="1">
      <alignment horizontal="right" vertical="center"/>
    </xf>
    <xf numFmtId="0" fontId="16" fillId="5" borderId="15" xfId="10" applyFont="1" applyFill="1" applyBorder="1" applyAlignment="1">
      <alignment horizontal="left" vertical="center"/>
    </xf>
    <xf numFmtId="0" fontId="17" fillId="5" borderId="24" xfId="10" applyFont="1" applyFill="1" applyBorder="1" applyAlignment="1">
      <alignment horizontal="center" vertical="center" wrapText="1"/>
    </xf>
    <xf numFmtId="0" fontId="17" fillId="5" borderId="25" xfId="10" applyFont="1" applyFill="1" applyBorder="1" applyAlignment="1">
      <alignment horizontal="center" vertical="center" wrapText="1"/>
    </xf>
    <xf numFmtId="0" fontId="17" fillId="5" borderId="26" xfId="10" applyFont="1" applyFill="1" applyBorder="1" applyAlignment="1">
      <alignment horizontal="center" vertical="center" wrapText="1"/>
    </xf>
    <xf numFmtId="165" fontId="5" fillId="4" borderId="23" xfId="10" applyNumberFormat="1" applyFont="1" applyFill="1" applyBorder="1"/>
    <xf numFmtId="168" fontId="5" fillId="4" borderId="23" xfId="10" applyNumberFormat="1" applyFont="1" applyFill="1" applyBorder="1"/>
    <xf numFmtId="0" fontId="9" fillId="4" borderId="0" xfId="10" applyFont="1" applyFill="1" applyAlignment="1">
      <alignment vertical="center"/>
    </xf>
    <xf numFmtId="0" fontId="16" fillId="4" borderId="0" xfId="10" applyFont="1" applyFill="1" applyAlignment="1"/>
    <xf numFmtId="0" fontId="2" fillId="4" borderId="0" xfId="10" applyFont="1" applyFill="1"/>
    <xf numFmtId="0" fontId="12" fillId="4" borderId="0" xfId="10" applyFont="1" applyFill="1" applyAlignment="1">
      <alignment vertical="center"/>
    </xf>
    <xf numFmtId="0" fontId="17" fillId="5" borderId="14" xfId="10" applyFont="1" applyFill="1" applyBorder="1" applyAlignment="1">
      <alignment horizontal="center" vertical="center" wrapText="1"/>
    </xf>
    <xf numFmtId="0" fontId="5" fillId="4" borderId="0" xfId="10" quotePrefix="1" applyFont="1" applyFill="1"/>
    <xf numFmtId="0" fontId="9" fillId="4" borderId="14" xfId="10" applyFont="1" applyFill="1" applyBorder="1" applyAlignment="1">
      <alignment horizontal="center" vertical="center"/>
    </xf>
    <xf numFmtId="0" fontId="5" fillId="4" borderId="14" xfId="10" applyFont="1" applyFill="1" applyBorder="1" applyAlignment="1">
      <alignment horizontal="right" vertical="center"/>
    </xf>
    <xf numFmtId="0" fontId="17" fillId="5" borderId="15" xfId="10" applyFont="1" applyFill="1" applyBorder="1" applyAlignment="1">
      <alignment horizontal="right" vertical="center" wrapText="1"/>
    </xf>
    <xf numFmtId="0" fontId="17" fillId="5" borderId="14" xfId="10" applyFont="1" applyFill="1" applyBorder="1" applyAlignment="1">
      <alignment horizontal="right" vertical="center" wrapText="1"/>
    </xf>
    <xf numFmtId="0" fontId="23" fillId="5" borderId="15" xfId="10" applyFont="1" applyFill="1" applyBorder="1" applyAlignment="1">
      <alignment horizontal="right" vertical="center" wrapText="1"/>
    </xf>
    <xf numFmtId="0" fontId="5" fillId="4" borderId="29" xfId="10" applyFont="1" applyFill="1" applyBorder="1"/>
    <xf numFmtId="0" fontId="23" fillId="5" borderId="14" xfId="10" applyFont="1" applyFill="1" applyBorder="1" applyAlignment="1">
      <alignment horizontal="right" vertical="center" wrapText="1"/>
    </xf>
    <xf numFmtId="0" fontId="19" fillId="4" borderId="0" xfId="10" applyFont="1" applyFill="1" applyAlignment="1">
      <alignment vertical="top" wrapText="1"/>
    </xf>
    <xf numFmtId="0" fontId="14" fillId="4" borderId="0" xfId="10" applyFont="1" applyFill="1" applyAlignment="1"/>
    <xf numFmtId="0" fontId="9" fillId="4" borderId="0" xfId="10" applyFont="1" applyFill="1" applyBorder="1" applyAlignment="1">
      <alignment horizontal="center" vertical="center"/>
    </xf>
    <xf numFmtId="0" fontId="17" fillId="5" borderId="0" xfId="10" applyFont="1" applyFill="1" applyBorder="1" applyAlignment="1">
      <alignment horizontal="right" vertical="center" wrapText="1"/>
    </xf>
    <xf numFmtId="0" fontId="23" fillId="5" borderId="0" xfId="10" applyFont="1" applyFill="1" applyBorder="1" applyAlignment="1">
      <alignment horizontal="right" vertical="center" wrapText="1"/>
    </xf>
    <xf numFmtId="0" fontId="15" fillId="5" borderId="27" xfId="10" applyFont="1" applyFill="1" applyBorder="1" applyAlignment="1">
      <alignment vertical="center"/>
    </xf>
    <xf numFmtId="0" fontId="13" fillId="4" borderId="0" xfId="10" applyFont="1" applyFill="1"/>
    <xf numFmtId="0" fontId="15" fillId="5" borderId="14" xfId="10" applyFont="1" applyFill="1" applyBorder="1" applyAlignment="1">
      <alignment vertical="center"/>
    </xf>
    <xf numFmtId="0" fontId="10" fillId="4" borderId="0" xfId="10" applyFont="1" applyFill="1" applyAlignment="1">
      <alignment vertical="center"/>
    </xf>
    <xf numFmtId="9" fontId="14" fillId="4" borderId="0" xfId="10" applyNumberFormat="1" applyFont="1" applyFill="1"/>
    <xf numFmtId="10" fontId="14" fillId="4" borderId="0" xfId="10" applyNumberFormat="1" applyFont="1" applyFill="1"/>
    <xf numFmtId="43" fontId="5" fillId="4" borderId="0" xfId="1" applyFont="1" applyFill="1" applyBorder="1"/>
    <xf numFmtId="0" fontId="6" fillId="7" borderId="0" xfId="0" applyFont="1" applyFill="1"/>
    <xf numFmtId="0" fontId="7" fillId="0" borderId="0" xfId="0" applyFont="1" applyFill="1"/>
    <xf numFmtId="0" fontId="20" fillId="4" borderId="0" xfId="10" applyFont="1" applyFill="1" applyBorder="1" applyAlignment="1"/>
    <xf numFmtId="0" fontId="13" fillId="4" borderId="0" xfId="10" applyFont="1" applyFill="1" applyAlignment="1">
      <alignment vertical="center"/>
    </xf>
    <xf numFmtId="0" fontId="9" fillId="4" borderId="0" xfId="10" applyFont="1" applyFill="1" applyAlignment="1">
      <alignment horizontal="center" vertical="center" wrapText="1"/>
    </xf>
    <xf numFmtId="0" fontId="9" fillId="4" borderId="0" xfId="10" applyFont="1" applyFill="1" applyAlignment="1">
      <alignment horizontal="center" vertical="center"/>
    </xf>
    <xf numFmtId="165" fontId="9" fillId="4" borderId="0" xfId="10" applyNumberFormat="1" applyFont="1" applyFill="1" applyAlignment="1">
      <alignment horizontal="center" vertical="center" wrapText="1"/>
    </xf>
    <xf numFmtId="0" fontId="20" fillId="4" borderId="0" xfId="10" applyFont="1" applyFill="1" applyAlignment="1"/>
    <xf numFmtId="0" fontId="5" fillId="4" borderId="0" xfId="10" applyFont="1" applyFill="1" applyAlignment="1"/>
    <xf numFmtId="3" fontId="5" fillId="4" borderId="0" xfId="10" applyNumberFormat="1" applyFont="1" applyFill="1" applyAlignment="1"/>
    <xf numFmtId="165" fontId="5" fillId="4" borderId="0" xfId="10" applyNumberFormat="1" applyFont="1" applyFill="1" applyAlignment="1"/>
    <xf numFmtId="0" fontId="9" fillId="4" borderId="0" xfId="10" applyFont="1" applyFill="1" applyAlignment="1">
      <alignment horizontal="center"/>
    </xf>
    <xf numFmtId="165" fontId="9" fillId="4" borderId="0" xfId="10" applyNumberFormat="1" applyFont="1" applyFill="1" applyAlignment="1">
      <alignment horizontal="left" vertical="center"/>
    </xf>
    <xf numFmtId="0" fontId="19" fillId="4" borderId="0" xfId="10" applyFont="1" applyFill="1" applyAlignment="1">
      <alignment horizontal="center" vertical="center" wrapText="1"/>
    </xf>
    <xf numFmtId="165" fontId="5" fillId="0" borderId="28" xfId="12" applyNumberFormat="1" applyFont="1" applyFill="1" applyBorder="1"/>
    <xf numFmtId="0" fontId="24" fillId="5" borderId="27" xfId="10" applyFont="1" applyFill="1" applyBorder="1" applyAlignment="1">
      <alignment horizontal="left" vertical="center"/>
    </xf>
    <xf numFmtId="0" fontId="9" fillId="4" borderId="0" xfId="10" applyFont="1" applyFill="1" applyAlignment="1">
      <alignment horizontal="left" vertical="center"/>
    </xf>
    <xf numFmtId="0" fontId="5" fillId="4" borderId="16" xfId="10" applyFont="1" applyFill="1" applyBorder="1" applyAlignment="1">
      <alignment horizontal="left" vertical="center"/>
    </xf>
    <xf numFmtId="0" fontId="5" fillId="6" borderId="17" xfId="10" applyFont="1" applyFill="1" applyBorder="1" applyAlignment="1">
      <alignment horizontal="left" vertical="center"/>
    </xf>
    <xf numFmtId="0" fontId="5" fillId="4" borderId="17" xfId="10" applyFont="1" applyFill="1" applyBorder="1" applyAlignment="1">
      <alignment horizontal="left" vertical="center"/>
    </xf>
    <xf numFmtId="0" fontId="5" fillId="4" borderId="17" xfId="10" applyFont="1" applyFill="1" applyBorder="1" applyAlignment="1">
      <alignment horizontal="left" vertical="center" wrapText="1"/>
    </xf>
    <xf numFmtId="0" fontId="5" fillId="4" borderId="23" xfId="0" applyFont="1" applyFill="1" applyBorder="1" applyAlignment="1">
      <alignment horizontal="left" wrapText="1"/>
    </xf>
    <xf numFmtId="168" fontId="5" fillId="4" borderId="17" xfId="12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 applyFill="1" applyAlignment="1"/>
    <xf numFmtId="0" fontId="20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5" fillId="0" borderId="0" xfId="2" applyNumberFormat="1" applyFont="1" applyFill="1"/>
    <xf numFmtId="168" fontId="5" fillId="0" borderId="0" xfId="2" applyNumberFormat="1" applyFont="1" applyFill="1"/>
    <xf numFmtId="167" fontId="5" fillId="0" borderId="0" xfId="1" applyNumberFormat="1" applyFont="1" applyFill="1"/>
    <xf numFmtId="171" fontId="5" fillId="0" borderId="0" xfId="0" applyNumberFormat="1" applyFont="1"/>
    <xf numFmtId="169" fontId="5" fillId="0" borderId="0" xfId="0" applyNumberFormat="1" applyFont="1"/>
    <xf numFmtId="170" fontId="5" fillId="0" borderId="0" xfId="0" applyNumberFormat="1" applyFont="1"/>
    <xf numFmtId="171" fontId="5" fillId="0" borderId="0" xfId="0" applyNumberFormat="1" applyFont="1" applyFill="1"/>
    <xf numFmtId="166" fontId="5" fillId="0" borderId="0" xfId="0" applyNumberFormat="1" applyFont="1" applyFill="1"/>
    <xf numFmtId="0" fontId="5" fillId="0" borderId="1" xfId="0" applyFont="1" applyBorder="1"/>
    <xf numFmtId="166" fontId="5" fillId="0" borderId="1" xfId="1" applyNumberFormat="1" applyFont="1" applyFill="1" applyBorder="1"/>
    <xf numFmtId="165" fontId="5" fillId="0" borderId="1" xfId="2" applyNumberFormat="1" applyFont="1" applyFill="1" applyBorder="1"/>
    <xf numFmtId="168" fontId="5" fillId="0" borderId="1" xfId="2" applyNumberFormat="1" applyFont="1" applyFill="1" applyBorder="1"/>
    <xf numFmtId="10" fontId="5" fillId="0" borderId="1" xfId="2" applyNumberFormat="1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5" fillId="0" borderId="0" xfId="0" applyNumberFormat="1" applyFont="1"/>
    <xf numFmtId="166" fontId="5" fillId="0" borderId="1" xfId="1" applyNumberFormat="1" applyFont="1" applyFill="1" applyBorder="1" applyAlignment="1">
      <alignment horizontal="center" vertical="center"/>
    </xf>
    <xf numFmtId="10" fontId="5" fillId="4" borderId="1" xfId="0" applyNumberFormat="1" applyFont="1" applyFill="1" applyBorder="1"/>
    <xf numFmtId="10" fontId="5" fillId="0" borderId="1" xfId="0" applyNumberFormat="1" applyFont="1" applyFill="1" applyBorder="1"/>
    <xf numFmtId="10" fontId="5" fillId="4" borderId="1" xfId="12" applyNumberFormat="1" applyFont="1" applyFill="1" applyBorder="1"/>
    <xf numFmtId="10" fontId="5" fillId="0" borderId="1" xfId="12" applyNumberFormat="1" applyFont="1" applyFill="1" applyBorder="1"/>
    <xf numFmtId="3" fontId="5" fillId="0" borderId="0" xfId="0" quotePrefix="1" applyNumberFormat="1" applyFont="1" applyFill="1" applyBorder="1"/>
    <xf numFmtId="10" fontId="5" fillId="0" borderId="0" xfId="2" quotePrefix="1" applyNumberFormat="1" applyFont="1" applyFill="1" applyBorder="1"/>
    <xf numFmtId="10" fontId="5" fillId="0" borderId="0" xfId="2" applyNumberFormat="1" applyFont="1" applyFill="1"/>
    <xf numFmtId="165" fontId="9" fillId="4" borderId="0" xfId="10" applyNumberFormat="1" applyFont="1" applyFill="1"/>
    <xf numFmtId="0" fontId="25" fillId="4" borderId="0" xfId="0" applyFont="1" applyFill="1"/>
    <xf numFmtId="0" fontId="19" fillId="4" borderId="0" xfId="10" applyFont="1" applyFill="1" applyAlignment="1">
      <alignment horizontal="left" wrapText="1"/>
    </xf>
    <xf numFmtId="0" fontId="17" fillId="5" borderId="15" xfId="10" applyFont="1" applyFill="1" applyBorder="1" applyAlignment="1">
      <alignment horizontal="center" vertical="center" wrapText="1"/>
    </xf>
    <xf numFmtId="0" fontId="17" fillId="5" borderId="0" xfId="10" applyFont="1" applyFill="1" applyBorder="1" applyAlignment="1">
      <alignment horizontal="center" vertical="center" wrapText="1"/>
    </xf>
    <xf numFmtId="0" fontId="17" fillId="5" borderId="14" xfId="10" applyFont="1" applyFill="1" applyBorder="1" applyAlignment="1">
      <alignment horizontal="center" vertical="center" wrapText="1"/>
    </xf>
    <xf numFmtId="0" fontId="17" fillId="5" borderId="0" xfId="10" applyFont="1" applyFill="1" applyBorder="1" applyAlignment="1">
      <alignment horizontal="center" vertical="center"/>
    </xf>
    <xf numFmtId="0" fontId="19" fillId="4" borderId="0" xfId="10" applyFont="1" applyFill="1" applyAlignment="1">
      <alignment horizontal="left" vertical="top" wrapText="1"/>
    </xf>
    <xf numFmtId="0" fontId="9" fillId="4" borderId="0" xfId="10" applyFont="1" applyFill="1" applyAlignment="1">
      <alignment horizontal="center" vertical="center" wrapText="1"/>
    </xf>
    <xf numFmtId="0" fontId="5" fillId="6" borderId="20" xfId="10" applyFont="1" applyFill="1" applyBorder="1" applyAlignment="1">
      <alignment horizontal="center" vertical="center" wrapText="1"/>
    </xf>
    <xf numFmtId="0" fontId="5" fillId="6" borderId="21" xfId="10" applyFont="1" applyFill="1" applyBorder="1" applyAlignment="1">
      <alignment horizontal="center" vertical="center" wrapText="1"/>
    </xf>
    <xf numFmtId="0" fontId="5" fillId="6" borderId="22" xfId="10" applyFont="1" applyFill="1" applyBorder="1" applyAlignment="1">
      <alignment horizontal="center" vertical="center" wrapText="1"/>
    </xf>
    <xf numFmtId="0" fontId="17" fillId="5" borderId="15" xfId="10" applyFont="1" applyFill="1" applyBorder="1" applyAlignment="1">
      <alignment horizontal="center" vertical="center"/>
    </xf>
    <xf numFmtId="0" fontId="17" fillId="5" borderId="14" xfId="10" applyFont="1" applyFill="1" applyBorder="1" applyAlignment="1">
      <alignment horizontal="center" vertical="center"/>
    </xf>
    <xf numFmtId="0" fontId="17" fillId="5" borderId="1" xfId="10" applyFont="1" applyFill="1" applyBorder="1" applyAlignment="1">
      <alignment horizontal="center" vertical="center"/>
    </xf>
    <xf numFmtId="0" fontId="23" fillId="5" borderId="15" xfId="10" applyFont="1" applyFill="1" applyBorder="1" applyAlignment="1">
      <alignment horizontal="center" vertical="center" wrapText="1"/>
    </xf>
    <xf numFmtId="0" fontId="23" fillId="5" borderId="0" xfId="10" applyFont="1" applyFill="1" applyBorder="1" applyAlignment="1">
      <alignment horizontal="center" vertical="center" wrapText="1"/>
    </xf>
    <xf numFmtId="0" fontId="23" fillId="5" borderId="14" xfId="10" applyFont="1" applyFill="1" applyBorder="1" applyAlignment="1">
      <alignment horizontal="center" vertical="center" wrapText="1"/>
    </xf>
    <xf numFmtId="165" fontId="5" fillId="4" borderId="21" xfId="12" applyNumberFormat="1" applyFont="1" applyFill="1" applyBorder="1" applyAlignment="1">
      <alignment horizontal="right"/>
    </xf>
    <xf numFmtId="165" fontId="5" fillId="4" borderId="22" xfId="12" applyNumberFormat="1" applyFont="1" applyFill="1" applyBorder="1" applyAlignment="1">
      <alignment horizontal="right"/>
    </xf>
    <xf numFmtId="0" fontId="5" fillId="4" borderId="0" xfId="1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1" xfId="0" applyBorder="1" applyAlignment="1"/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/>
    <xf numFmtId="0" fontId="5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</cellXfs>
  <cellStyles count="16">
    <cellStyle name="Відсотковий" xfId="2" builtinId="5"/>
    <cellStyle name="Гиперссылка 2" xfId="15"/>
    <cellStyle name="Звичайний" xfId="0" builtinId="0"/>
    <cellStyle name="Звичайний 2" xfId="11"/>
    <cellStyle name="Звичайний 3" xfId="5"/>
    <cellStyle name="Звичайний 4 14" xfId="9"/>
    <cellStyle name="Звичайний 4 15" xfId="7"/>
    <cellStyle name="Звичайний 4 5" xfId="3"/>
    <cellStyle name="Обычный 2" xfId="4"/>
    <cellStyle name="Обычный 3" xfId="10"/>
    <cellStyle name="Обычный 3 6" xfId="13"/>
    <cellStyle name="Процентный 2" xfId="12"/>
    <cellStyle name="Финансовый 2" xfId="8"/>
    <cellStyle name="Финансовый 3" xfId="14"/>
    <cellStyle name="Фінансовий" xfId="1" builtinId="3"/>
    <cellStyle name="Фінансовий 2" xfId="6"/>
  </cellStyles>
  <dxfs count="7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057D46"/>
      </font>
    </dxf>
  </dxfs>
  <tableStyles count="0" defaultTableStyle="TableStyleMedium2" defaultPivotStyle="PivotStyleLight16"/>
  <colors>
    <mruColors>
      <color rgb="FFDC4B64"/>
      <color rgb="FF7D0532"/>
      <color rgb="FF91C864"/>
      <color rgb="FF7D4B64"/>
      <color rgb="FFB5DE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25119966064846E-2"/>
          <c:y val="4.4691456519476917E-2"/>
          <c:w val="0.8862644192880802"/>
          <c:h val="0.58645391792986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'Individual banks'!$F$4:$H$4</c:f>
              <c:strCache>
                <c:ptCount val="3"/>
                <c:pt idx="0">
                  <c:v>За базовим макроекономічним сценарієм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'Individual banks'!$F$5:$H$5</c:f>
              <c:strCache>
                <c:ptCount val="3"/>
                <c:pt idx="0">
                  <c:v>1-й рік</c:v>
                </c:pt>
                <c:pt idx="1">
                  <c:v>2-й рік</c:v>
                </c:pt>
                <c:pt idx="2">
                  <c:v>3-й рік</c:v>
                </c:pt>
              </c:strCache>
            </c:strRef>
          </c:cat>
          <c:val>
            <c:numRef>
              <c:f>'Individual banks'!$F$15:$H$15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19-425A-B546-2390A82F476D}"/>
            </c:ext>
          </c:extLst>
        </c:ser>
        <c:ser>
          <c:idx val="1"/>
          <c:order val="1"/>
          <c:tx>
            <c:strRef>
              <c:f>'Individual banks'!$I$4:$K$4</c:f>
              <c:strCache>
                <c:ptCount val="3"/>
                <c:pt idx="0">
                  <c:v>За несприятливим макроекономічним сценарієм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'Individual banks'!$F$5:$H$5</c:f>
              <c:strCache>
                <c:ptCount val="3"/>
                <c:pt idx="0">
                  <c:v>1-й рік</c:v>
                </c:pt>
                <c:pt idx="1">
                  <c:v>2-й рік</c:v>
                </c:pt>
                <c:pt idx="2">
                  <c:v>3-й рік</c:v>
                </c:pt>
              </c:strCache>
            </c:strRef>
          </c:cat>
          <c:val>
            <c:numRef>
              <c:f>'Individual banks'!$I$15:$K$15</c:f>
              <c:numCache>
                <c:formatCode>#\ 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19-425A-B546-2390A82F4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80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12700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egendEntry>
        <c:idx val="0"/>
        <c:txPr>
          <a:bodyPr/>
          <a:lstStyle/>
          <a:p>
            <a:pPr>
              <a:defRPr sz="1000"/>
            </a:pPr>
            <a:endParaRPr lang="uk-UA"/>
          </a:p>
        </c:txPr>
      </c:legendEntry>
      <c:layout>
        <c:manualLayout>
          <c:xMode val="edge"/>
          <c:yMode val="edge"/>
          <c:x val="2.3568920335429771E-2"/>
          <c:y val="0.76413645833333332"/>
          <c:w val="0.95622895622895621"/>
          <c:h val="0.14017013888888888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000"/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2.7188209308536403E-2"/>
          <c:w val="0.97142868398349125"/>
          <c:h val="0.897210907181701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1"/>
            <c:invertIfNegative val="0"/>
            <c:bubble3D val="0"/>
            <c:spPr>
              <a:solidFill>
                <a:srgbClr val="91C86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6C92-46E9-94F2-E8AB8E2C8F9D}"/>
              </c:ext>
            </c:extLst>
          </c:dPt>
          <c:dPt>
            <c:idx val="2"/>
            <c:invertIfNegative val="0"/>
            <c:bubble3D val="0"/>
            <c:spPr>
              <a:solidFill>
                <a:srgbClr val="7D053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4-6C92-46E9-94F2-E8AB8E2C8F9D}"/>
              </c:ext>
            </c:extLst>
          </c:dPt>
          <c:dPt>
            <c:idx val="4"/>
            <c:invertIfNegative val="0"/>
            <c:bubble3D val="0"/>
            <c:spPr>
              <a:solidFill>
                <a:srgbClr val="91C86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2-6C92-46E9-94F2-E8AB8E2C8F9D}"/>
              </c:ext>
            </c:extLst>
          </c:dPt>
          <c:dPt>
            <c:idx val="5"/>
            <c:invertIfNegative val="0"/>
            <c:bubble3D val="0"/>
            <c:spPr>
              <a:solidFill>
                <a:srgbClr val="7D053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6C92-46E9-94F2-E8AB8E2C8F9D}"/>
              </c:ext>
            </c:extLst>
          </c:dPt>
          <c:dPt>
            <c:idx val="7"/>
            <c:invertIfNegative val="0"/>
            <c:bubble3D val="0"/>
            <c:spPr>
              <a:solidFill>
                <a:srgbClr val="91C86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6C92-46E9-94F2-E8AB8E2C8F9D}"/>
              </c:ext>
            </c:extLst>
          </c:dPt>
          <c:dPt>
            <c:idx val="8"/>
            <c:invertIfNegative val="0"/>
            <c:bubble3D val="0"/>
            <c:spPr>
              <a:solidFill>
                <a:srgbClr val="7D053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6-6C92-46E9-94F2-E8AB8E2C8F9D}"/>
              </c:ext>
            </c:extLst>
          </c:dPt>
          <c:cat>
            <c:multiLvlStrRef>
              <c:f>'Capital need'!$C$5:$D$13</c:f>
              <c:multiLvlStrCache>
                <c:ptCount val="9"/>
                <c:lvl>
                  <c:pt idx="0">
                    <c:v>НРК</c:v>
                  </c:pt>
                  <c:pt idx="1">
                    <c:v>НК1</c:v>
                  </c:pt>
                  <c:pt idx="2">
                    <c:v>НОК1</c:v>
                  </c:pt>
                  <c:pt idx="3">
                    <c:v>НРК</c:v>
                  </c:pt>
                  <c:pt idx="4">
                    <c:v>НК1</c:v>
                  </c:pt>
                  <c:pt idx="5">
                    <c:v>НОК1</c:v>
                  </c:pt>
                  <c:pt idx="6">
                    <c:v>НРК</c:v>
                  </c:pt>
                  <c:pt idx="7">
                    <c:v>НК1</c:v>
                  </c:pt>
                  <c:pt idx="8">
                    <c:v>НОК1</c:v>
                  </c:pt>
                </c:lvl>
                <c:lvl>
                  <c:pt idx="0">
                    <c:v>за результатами стрес-тестування</c:v>
                  </c:pt>
                  <c:pt idx="3">
                    <c:v>з урахуванням здійснених та запланованих банком заходів*, %</c:v>
                  </c:pt>
                  <c:pt idx="6">
                    <c:v>Фактичний рівень нормативів на 01.12.2025 р.</c:v>
                  </c:pt>
                </c:lvl>
              </c:multiLvlStrCache>
            </c:multiLvlStrRef>
          </c:cat>
          <c:val>
            <c:numRef>
              <c:f>'Capital need'!$K$5:$K$13</c:f>
              <c:numCache>
                <c:formatCode>0.0%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92-46E9-94F2-E8AB8E2C8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611263544"/>
        <c:axId val="611260592"/>
      </c:barChart>
      <c:catAx>
        <c:axId val="611263544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11260592"/>
        <c:crosses val="autoZero"/>
        <c:auto val="1"/>
        <c:lblAlgn val="ctr"/>
        <c:lblOffset val="100"/>
        <c:noMultiLvlLbl val="0"/>
      </c:catAx>
      <c:valAx>
        <c:axId val="6112605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11263544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2.7155639231987206E-2"/>
          <c:w val="0.96751337846935337"/>
          <c:h val="0.8961360946555777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1"/>
            <c:invertIfNegative val="0"/>
            <c:bubble3D val="0"/>
            <c:spPr>
              <a:solidFill>
                <a:srgbClr val="91C86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3C9F-46FD-B79D-63DF9710E86F}"/>
              </c:ext>
            </c:extLst>
          </c:dPt>
          <c:dPt>
            <c:idx val="2"/>
            <c:invertIfNegative val="0"/>
            <c:bubble3D val="0"/>
            <c:spPr>
              <a:solidFill>
                <a:srgbClr val="7D053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4-3C9F-46FD-B79D-63DF9710E86F}"/>
              </c:ext>
            </c:extLst>
          </c:dPt>
          <c:dPt>
            <c:idx val="4"/>
            <c:invertIfNegative val="0"/>
            <c:bubble3D val="0"/>
            <c:spPr>
              <a:solidFill>
                <a:srgbClr val="91C86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2-3C9F-46FD-B79D-63DF9710E86F}"/>
              </c:ext>
            </c:extLst>
          </c:dPt>
          <c:dPt>
            <c:idx val="5"/>
            <c:invertIfNegative val="0"/>
            <c:bubble3D val="0"/>
            <c:spPr>
              <a:solidFill>
                <a:srgbClr val="7D053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3C9F-46FD-B79D-63DF9710E86F}"/>
              </c:ext>
            </c:extLst>
          </c:dPt>
          <c:dPt>
            <c:idx val="7"/>
            <c:invertIfNegative val="0"/>
            <c:bubble3D val="0"/>
            <c:spPr>
              <a:solidFill>
                <a:srgbClr val="91C86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3C9F-46FD-B79D-63DF9710E86F}"/>
              </c:ext>
            </c:extLst>
          </c:dPt>
          <c:dPt>
            <c:idx val="8"/>
            <c:invertIfNegative val="0"/>
            <c:bubble3D val="0"/>
            <c:spPr>
              <a:solidFill>
                <a:srgbClr val="7D053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6-3C9F-46FD-B79D-63DF9710E86F}"/>
              </c:ext>
            </c:extLst>
          </c:dPt>
          <c:cat>
            <c:multiLvlStrRef>
              <c:f>'Capital need'!$C$5:$D$13</c:f>
              <c:multiLvlStrCache>
                <c:ptCount val="9"/>
                <c:lvl>
                  <c:pt idx="0">
                    <c:v>НРК</c:v>
                  </c:pt>
                  <c:pt idx="1">
                    <c:v>НК1</c:v>
                  </c:pt>
                  <c:pt idx="2">
                    <c:v>НОК1</c:v>
                  </c:pt>
                  <c:pt idx="3">
                    <c:v>НРК</c:v>
                  </c:pt>
                  <c:pt idx="4">
                    <c:v>НК1</c:v>
                  </c:pt>
                  <c:pt idx="5">
                    <c:v>НОК1</c:v>
                  </c:pt>
                  <c:pt idx="6">
                    <c:v>НРК</c:v>
                  </c:pt>
                  <c:pt idx="7">
                    <c:v>НК1</c:v>
                  </c:pt>
                  <c:pt idx="8">
                    <c:v>НОК1</c:v>
                  </c:pt>
                </c:lvl>
                <c:lvl>
                  <c:pt idx="0">
                    <c:v>за результатами стрес-тестування</c:v>
                  </c:pt>
                  <c:pt idx="3">
                    <c:v>з урахуванням здійснених та запланованих банком заходів*, %</c:v>
                  </c:pt>
                  <c:pt idx="6">
                    <c:v>Фактичний рівень нормативів на 01.12.2025 р.</c:v>
                  </c:pt>
                </c:lvl>
              </c:multiLvlStrCache>
            </c:multiLvlStrRef>
          </c:cat>
          <c:val>
            <c:numRef>
              <c:f>'Capital need'!$N$5:$N$13</c:f>
              <c:numCache>
                <c:formatCode>0.0%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9F-46FD-B79D-63DF9710E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611263544"/>
        <c:axId val="611260592"/>
      </c:barChart>
      <c:catAx>
        <c:axId val="611263544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11260592"/>
        <c:crosses val="autoZero"/>
        <c:auto val="1"/>
        <c:lblAlgn val="ctr"/>
        <c:lblOffset val="100"/>
        <c:noMultiLvlLbl val="0"/>
      </c:catAx>
      <c:valAx>
        <c:axId val="6112605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11263544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51440836943794"/>
          <c:y val="4.2819066353883793E-2"/>
          <c:w val="0.88131700872112484"/>
          <c:h val="0.63626570271148297"/>
        </c:manualLayout>
      </c:layout>
      <c:lineChart>
        <c:grouping val="standard"/>
        <c:varyColors val="0"/>
        <c:ser>
          <c:idx val="0"/>
          <c:order val="0"/>
          <c:tx>
            <c:strRef>
              <c:f>'Comparison with group'!$C$5:$H$5</c:f>
              <c:strCache>
                <c:ptCount val="1"/>
                <c:pt idx="0">
                  <c:v>Укргазбанк</c:v>
                </c:pt>
              </c:strCache>
            </c:strRef>
          </c:tx>
          <c:spPr>
            <a:ln w="31750" cmpd="sng">
              <a:solidFill>
                <a:srgbClr val="057D46"/>
              </a:solidFill>
              <a:prstDash val="solid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('Comparison with group'!$B$7:$B$9,'Comparison with group'!$B$11:$B$13)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with group'!$H$7:$H$9,'Comparison with group'!$H$11:$H$13)</c:f>
              <c:numCache>
                <c:formatCode>0.0%</c:formatCode>
                <c:ptCount val="6"/>
                <c:pt idx="0">
                  <c:v>0.16370000000000001</c:v>
                </c:pt>
                <c:pt idx="1">
                  <c:v>0.1477</c:v>
                </c:pt>
                <c:pt idx="2">
                  <c:v>0.1477</c:v>
                </c:pt>
                <c:pt idx="3">
                  <c:v>0.18099999999999999</c:v>
                </c:pt>
                <c:pt idx="4">
                  <c:v>0.21490000000000001</c:v>
                </c:pt>
                <c:pt idx="5">
                  <c:v>0.23960000000000001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4-4DF3-A241-609530772AF3}"/>
            </c:ext>
          </c:extLst>
        </c:ser>
        <c:ser>
          <c:idx val="1"/>
          <c:order val="1"/>
          <c:tx>
            <c:strRef>
              <c:f>'Comparison with group'!$I$5:$N$5</c:f>
              <c:strCache>
                <c:ptCount val="1"/>
                <c:pt idx="0">
                  <c:v>Усі банки, що проходили стрес-тестування</c:v>
                </c:pt>
              </c:strCache>
            </c:strRef>
          </c:tx>
          <c:spPr>
            <a:ln w="31750" cmpd="sng">
              <a:solidFill>
                <a:srgbClr val="91C864"/>
              </a:solidFill>
              <a:prstDash val="solid"/>
            </a:ln>
          </c:spPr>
          <c:marker>
            <c:symbol val="none"/>
          </c:marker>
          <c:cat>
            <c:strRef>
              <c:f>('Comparison with group'!$B$7:$B$9,'Comparison with group'!$B$11:$B$13)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with group'!$N$7:$N$9,'Comparison with group'!$N$11:$N$13)</c:f>
              <c:numCache>
                <c:formatCode>0.0%</c:formatCode>
                <c:ptCount val="6"/>
                <c:pt idx="0">
                  <c:v>0.16260850018663373</c:v>
                </c:pt>
                <c:pt idx="1">
                  <c:v>0.15505159098187141</c:v>
                </c:pt>
                <c:pt idx="2">
                  <c:v>0.15504759871517435</c:v>
                </c:pt>
                <c:pt idx="3">
                  <c:v>0.22734921659836335</c:v>
                </c:pt>
                <c:pt idx="4">
                  <c:v>0.27949455909919702</c:v>
                </c:pt>
                <c:pt idx="5">
                  <c:v>0.32429532108172027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4-4DF3-A241-609530772AF3}"/>
            </c:ext>
          </c:extLst>
        </c:ser>
        <c:ser>
          <c:idx val="3"/>
          <c:order val="2"/>
          <c:tx>
            <c:strRef>
              <c:f>'Comparison with group'!$O$5:$T$5</c:f>
              <c:strCache>
                <c:ptCount val="1"/>
                <c:pt idx="0">
                  <c:v>Банки з державною часткою</c:v>
                </c:pt>
              </c:strCache>
            </c:strRef>
          </c:tx>
          <c:spPr>
            <a:ln w="31750" cmpd="sng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strRef>
              <c:f>('Comparison with group'!$B$7:$B$9,'Comparison with group'!$B$11:$B$13)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with group'!$T$7:$T$9,'Comparison with group'!$T$11:$T$13)</c:f>
              <c:numCache>
                <c:formatCode>0.0%</c:formatCode>
                <c:ptCount val="6"/>
                <c:pt idx="0">
                  <c:v>0.14258100554649814</c:v>
                </c:pt>
                <c:pt idx="1">
                  <c:v>0.1333648458660458</c:v>
                </c:pt>
                <c:pt idx="2">
                  <c:v>0.1333648458660458</c:v>
                </c:pt>
                <c:pt idx="3">
                  <c:v>0.20993906872716228</c:v>
                </c:pt>
                <c:pt idx="4">
                  <c:v>0.27801837621712316</c:v>
                </c:pt>
                <c:pt idx="5">
                  <c:v>0.33708530278348953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34-4DF3-A241-609530772AF3}"/>
            </c:ext>
          </c:extLst>
        </c:ser>
        <c:ser>
          <c:idx val="2"/>
          <c:order val="3"/>
          <c:tx>
            <c:strRef>
              <c:f>'Comparison with group'!$W$5:$W$6</c:f>
              <c:strCache>
                <c:ptCount val="2"/>
                <c:pt idx="0">
                  <c:v>Граничне значення НОК1</c:v>
                </c:pt>
              </c:strCache>
            </c:strRef>
          </c:tx>
          <c:spPr>
            <a:ln w="31750" cmpd="sng">
              <a:solidFill>
                <a:srgbClr val="DC4B64"/>
              </a:solidFill>
              <a:prstDash val="dash"/>
            </a:ln>
          </c:spPr>
          <c:marker>
            <c:symbol val="none"/>
          </c:marker>
          <c:cat>
            <c:strRef>
              <c:f>('Comparison with group'!$B$7:$B$9,'Comparison with group'!$B$11:$B$13)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with group'!$W$7:$W$9,'Comparison with group'!$W$11:$W$13)</c:f>
              <c:numCache>
                <c:formatCode>0.000%</c:formatCode>
                <c:ptCount val="6"/>
                <c:pt idx="0">
                  <c:v>5.6250000000000001E-2</c:v>
                </c:pt>
                <c:pt idx="1">
                  <c:v>5.6250000000000001E-2</c:v>
                </c:pt>
                <c:pt idx="2">
                  <c:v>5.6250000000000001E-2</c:v>
                </c:pt>
                <c:pt idx="3">
                  <c:v>5.6250000000000001E-2</c:v>
                </c:pt>
                <c:pt idx="4">
                  <c:v>5.6250000000000001E-2</c:v>
                </c:pt>
                <c:pt idx="5">
                  <c:v>5.6250000000000001E-2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34-4DF3-A241-609530772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803832"/>
        <c:axId val="409802192"/>
      </c:lineChart>
      <c:catAx>
        <c:axId val="40980383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tickLblSkip val="1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100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12700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2.6990553306342781E-2"/>
          <c:y val="0.80058727557619236"/>
          <c:w val="0.95816464237516874"/>
          <c:h val="0.1887411800797627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51440836943794"/>
          <c:y val="4.2855292928493577E-2"/>
          <c:w val="0.88478742343568328"/>
          <c:h val="0.63540753157340024"/>
        </c:manualLayout>
      </c:layout>
      <c:lineChart>
        <c:grouping val="standard"/>
        <c:varyColors val="0"/>
        <c:ser>
          <c:idx val="0"/>
          <c:order val="0"/>
          <c:tx>
            <c:strRef>
              <c:f>'Comparison with group'!$C$5:$H$5</c:f>
              <c:strCache>
                <c:ptCount val="1"/>
                <c:pt idx="0">
                  <c:v>Укргазбанк</c:v>
                </c:pt>
              </c:strCache>
            </c:strRef>
          </c:tx>
          <c:spPr>
            <a:ln w="31750" cmpd="sng">
              <a:solidFill>
                <a:srgbClr val="057D46"/>
              </a:solidFill>
              <a:prstDash val="solid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('Comparison with group'!$B$7:$B$9,'Comparison with group'!$B$15:$B$17)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with group'!$H$7:$H$9,'Comparison with group'!$H$15:$H$17)</c:f>
              <c:numCache>
                <c:formatCode>0.0%</c:formatCode>
                <c:ptCount val="6"/>
                <c:pt idx="0">
                  <c:v>0.16370000000000001</c:v>
                </c:pt>
                <c:pt idx="1">
                  <c:v>0.1477</c:v>
                </c:pt>
                <c:pt idx="2">
                  <c:v>0.1477</c:v>
                </c:pt>
                <c:pt idx="3">
                  <c:v>0.1467</c:v>
                </c:pt>
                <c:pt idx="4">
                  <c:v>0.1328</c:v>
                </c:pt>
                <c:pt idx="5">
                  <c:v>0.1497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2-4908-A9E7-8392255C0573}"/>
            </c:ext>
          </c:extLst>
        </c:ser>
        <c:ser>
          <c:idx val="1"/>
          <c:order val="1"/>
          <c:tx>
            <c:strRef>
              <c:f>'Comparison with group'!$I$5:$N$5</c:f>
              <c:strCache>
                <c:ptCount val="1"/>
                <c:pt idx="0">
                  <c:v>Усі банки, що проходили стрес-тестування</c:v>
                </c:pt>
              </c:strCache>
            </c:strRef>
          </c:tx>
          <c:spPr>
            <a:ln w="31750" cmpd="sng">
              <a:solidFill>
                <a:srgbClr val="91C864"/>
              </a:solidFill>
              <a:prstDash val="solid"/>
            </a:ln>
          </c:spPr>
          <c:marker>
            <c:symbol val="none"/>
          </c:marker>
          <c:cat>
            <c:strRef>
              <c:f>('Comparison with group'!$B$7:$B$9,'Comparison with group'!$B$15:$B$17)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with group'!$N$7:$N$9,'Comparison with group'!$N$15:$N$17)</c:f>
              <c:numCache>
                <c:formatCode>0.0%</c:formatCode>
                <c:ptCount val="6"/>
                <c:pt idx="0">
                  <c:v>0.16260850018663373</c:v>
                </c:pt>
                <c:pt idx="1">
                  <c:v>0.15505159098187141</c:v>
                </c:pt>
                <c:pt idx="2">
                  <c:v>0.15504759871517435</c:v>
                </c:pt>
                <c:pt idx="3">
                  <c:v>0.20409476899198448</c:v>
                </c:pt>
                <c:pt idx="4">
                  <c:v>0.23320648432121174</c:v>
                </c:pt>
                <c:pt idx="5">
                  <c:v>0.27960172630069891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2-4908-A9E7-8392255C0573}"/>
            </c:ext>
          </c:extLst>
        </c:ser>
        <c:ser>
          <c:idx val="3"/>
          <c:order val="2"/>
          <c:tx>
            <c:strRef>
              <c:f>'Comparison with group'!$O$5:$T$5</c:f>
              <c:strCache>
                <c:ptCount val="1"/>
                <c:pt idx="0">
                  <c:v>Банки з державною часткою</c:v>
                </c:pt>
              </c:strCache>
            </c:strRef>
          </c:tx>
          <c:spPr>
            <a:ln w="31750" cmpd="sng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strRef>
              <c:f>('Comparison with group'!$B$7:$B$9,'Comparison with group'!$B$15:$B$17)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with group'!$T$7:$T$9,'Comparison with group'!$T$15:$T$17)</c:f>
              <c:numCache>
                <c:formatCode>0.0%</c:formatCode>
                <c:ptCount val="6"/>
                <c:pt idx="0">
                  <c:v>0.14258100554649814</c:v>
                </c:pt>
                <c:pt idx="1">
                  <c:v>0.1333648458660458</c:v>
                </c:pt>
                <c:pt idx="2">
                  <c:v>0.1333648458660458</c:v>
                </c:pt>
                <c:pt idx="3">
                  <c:v>0.18772778731535752</c:v>
                </c:pt>
                <c:pt idx="4">
                  <c:v>0.23307812329124589</c:v>
                </c:pt>
                <c:pt idx="5">
                  <c:v>0.29302503032875082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92-4908-A9E7-8392255C0573}"/>
            </c:ext>
          </c:extLst>
        </c:ser>
        <c:ser>
          <c:idx val="2"/>
          <c:order val="3"/>
          <c:tx>
            <c:strRef>
              <c:f>'Comparison with group'!$W$5:$W$6</c:f>
              <c:strCache>
                <c:ptCount val="2"/>
                <c:pt idx="0">
                  <c:v>Граничне значення НОК1</c:v>
                </c:pt>
              </c:strCache>
            </c:strRef>
          </c:tx>
          <c:spPr>
            <a:ln w="31750" cmpd="sng">
              <a:solidFill>
                <a:srgbClr val="DC4B64"/>
              </a:solidFill>
              <a:prstDash val="dash"/>
            </a:ln>
          </c:spPr>
          <c:marker>
            <c:symbol val="none"/>
          </c:marker>
          <c:cat>
            <c:strRef>
              <c:f>('Comparison with group'!$B$7:$B$9,'Comparison with group'!$B$15:$B$17)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with group'!$W$7:$W$9,'Comparison with group'!$W$15,'Comparison with group'!$W$16,'Comparison with group'!$W$17)</c:f>
              <c:numCache>
                <c:formatCode>0.000%</c:formatCode>
                <c:ptCount val="6"/>
                <c:pt idx="0">
                  <c:v>5.6250000000000001E-2</c:v>
                </c:pt>
                <c:pt idx="1">
                  <c:v>5.6250000000000001E-2</c:v>
                </c:pt>
                <c:pt idx="2">
                  <c:v>5.6250000000000001E-2</c:v>
                </c:pt>
                <c:pt idx="3">
                  <c:v>5.6250000000000001E-2</c:v>
                </c:pt>
                <c:pt idx="4">
                  <c:v>5.6250000000000001E-2</c:v>
                </c:pt>
                <c:pt idx="5">
                  <c:v>5.6250000000000001E-2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92-4908-A9E7-8392255C0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803832"/>
        <c:axId val="409802192"/>
      </c:lineChart>
      <c:catAx>
        <c:axId val="40980383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tickLblSkip val="1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100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12700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2.6990553306342781E-2"/>
          <c:y val="0.80001546745898422"/>
          <c:w val="0.95816464237516874"/>
          <c:h val="0.1791372754970270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56884295713036"/>
          <c:y val="4.2819066353883793E-2"/>
          <c:w val="0.87933262248468946"/>
          <c:h val="0.63626570271148297"/>
        </c:manualLayout>
      </c:layout>
      <c:lineChart>
        <c:grouping val="standard"/>
        <c:varyColors val="0"/>
        <c:ser>
          <c:idx val="0"/>
          <c:order val="0"/>
          <c:tx>
            <c:strRef>
              <c:f>'Comparison with group'!$C$5:$H$5</c:f>
              <c:strCache>
                <c:ptCount val="1"/>
                <c:pt idx="0">
                  <c:v>Укргазбанк</c:v>
                </c:pt>
              </c:strCache>
            </c:strRef>
          </c:tx>
          <c:spPr>
            <a:ln w="31750" cmpd="sng">
              <a:solidFill>
                <a:srgbClr val="057D46"/>
              </a:solidFill>
              <a:prstDash val="solid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('Comparison with group'!$B$7:$B$9,'Comparison with group'!$B$11:$B$13)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with group'!$G$7:$G$9,'Comparison with group'!$G$11:$G$13)</c:f>
              <c:numCache>
                <c:formatCode>0.0%</c:formatCode>
                <c:ptCount val="6"/>
                <c:pt idx="0">
                  <c:v>0.16370000000000001</c:v>
                </c:pt>
                <c:pt idx="1">
                  <c:v>0.1477</c:v>
                </c:pt>
                <c:pt idx="2">
                  <c:v>0.1477</c:v>
                </c:pt>
                <c:pt idx="3">
                  <c:v>0.18099999999999999</c:v>
                </c:pt>
                <c:pt idx="4">
                  <c:v>0.21490000000000001</c:v>
                </c:pt>
                <c:pt idx="5">
                  <c:v>0.23960000000000001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C-4A96-8D66-F3DA3E018CFA}"/>
            </c:ext>
          </c:extLst>
        </c:ser>
        <c:ser>
          <c:idx val="1"/>
          <c:order val="1"/>
          <c:tx>
            <c:strRef>
              <c:f>'Comparison with group'!$I$5:$N$5</c:f>
              <c:strCache>
                <c:ptCount val="1"/>
                <c:pt idx="0">
                  <c:v>Усі банки, що проходили стрес-тестування</c:v>
                </c:pt>
              </c:strCache>
            </c:strRef>
          </c:tx>
          <c:spPr>
            <a:ln w="31750" cmpd="sng">
              <a:solidFill>
                <a:srgbClr val="91C864"/>
              </a:solidFill>
              <a:prstDash val="solid"/>
            </a:ln>
          </c:spPr>
          <c:marker>
            <c:symbol val="none"/>
          </c:marker>
          <c:cat>
            <c:strRef>
              <c:f>('Comparison with group'!$B$7:$B$9,'Comparison with group'!$B$11:$B$13)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with group'!$M$7:$M$9,'Comparison with group'!$M$11:$M$13)</c:f>
              <c:numCache>
                <c:formatCode>0.0%</c:formatCode>
                <c:ptCount val="6"/>
                <c:pt idx="0">
                  <c:v>0.16260850018663373</c:v>
                </c:pt>
                <c:pt idx="1">
                  <c:v>0.15505159098187141</c:v>
                </c:pt>
                <c:pt idx="2">
                  <c:v>0.15504759871517435</c:v>
                </c:pt>
                <c:pt idx="3">
                  <c:v>0.22734921659836335</c:v>
                </c:pt>
                <c:pt idx="4">
                  <c:v>0.27949455909919702</c:v>
                </c:pt>
                <c:pt idx="5">
                  <c:v>0.32429532108172027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C-4A96-8D66-F3DA3E018CFA}"/>
            </c:ext>
          </c:extLst>
        </c:ser>
        <c:ser>
          <c:idx val="3"/>
          <c:order val="2"/>
          <c:tx>
            <c:strRef>
              <c:f>'Comparison with group'!$O$5:$T$5</c:f>
              <c:strCache>
                <c:ptCount val="1"/>
                <c:pt idx="0">
                  <c:v>Банки з державною часткою</c:v>
                </c:pt>
              </c:strCache>
            </c:strRef>
          </c:tx>
          <c:spPr>
            <a:ln w="31750" cmpd="sng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strRef>
              <c:f>('Comparison with group'!$B$7:$B$9,'Comparison with group'!$B$11:$B$13)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with group'!$S$7:$S$9,'Comparison with group'!$S$11:$S$13)</c:f>
              <c:numCache>
                <c:formatCode>0.0%</c:formatCode>
                <c:ptCount val="6"/>
                <c:pt idx="0">
                  <c:v>0.14258100554649814</c:v>
                </c:pt>
                <c:pt idx="1">
                  <c:v>0.1333648458660458</c:v>
                </c:pt>
                <c:pt idx="2">
                  <c:v>0.1333648458660458</c:v>
                </c:pt>
                <c:pt idx="3">
                  <c:v>0.20993906872716228</c:v>
                </c:pt>
                <c:pt idx="4">
                  <c:v>0.27801837621712316</c:v>
                </c:pt>
                <c:pt idx="5">
                  <c:v>0.33708530278348953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2C-4A96-8D66-F3DA3E018CFA}"/>
            </c:ext>
          </c:extLst>
        </c:ser>
        <c:ser>
          <c:idx val="2"/>
          <c:order val="3"/>
          <c:tx>
            <c:strRef>
              <c:f>'Comparison with group'!$V$5:$V$6</c:f>
              <c:strCache>
                <c:ptCount val="2"/>
                <c:pt idx="0">
                  <c:v>Граничне значення НК1</c:v>
                </c:pt>
              </c:strCache>
            </c:strRef>
          </c:tx>
          <c:spPr>
            <a:ln w="31750" cmpd="sng">
              <a:solidFill>
                <a:srgbClr val="DC4B64"/>
              </a:solidFill>
              <a:prstDash val="dash"/>
            </a:ln>
          </c:spPr>
          <c:marker>
            <c:symbol val="none"/>
          </c:marker>
          <c:cat>
            <c:strRef>
              <c:f>('Comparison with group'!$B$7:$B$9,'Comparison with group'!$B$11:$B$13)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with group'!$V$7:$V$9,'Comparison with group'!$V$11,'Comparison with group'!$V$12,'Comparison with group'!$V$13)</c:f>
              <c:numCache>
                <c:formatCode>0.0%</c:formatCode>
                <c:ptCount val="6"/>
                <c:pt idx="0">
                  <c:v>7.4999999999999997E-2</c:v>
                </c:pt>
                <c:pt idx="1">
                  <c:v>7.4999999999999997E-2</c:v>
                </c:pt>
                <c:pt idx="2">
                  <c:v>7.4999999999999997E-2</c:v>
                </c:pt>
                <c:pt idx="3">
                  <c:v>7.4999999999999997E-2</c:v>
                </c:pt>
                <c:pt idx="4">
                  <c:v>7.4999999999999997E-2</c:v>
                </c:pt>
                <c:pt idx="5">
                  <c:v>7.4999999999999997E-2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2C-4A96-8D66-F3DA3E018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803832"/>
        <c:axId val="409802192"/>
      </c:lineChart>
      <c:catAx>
        <c:axId val="40980383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09802192"/>
        <c:crosses val="autoZero"/>
        <c:auto val="1"/>
        <c:lblAlgn val="ctr"/>
        <c:lblOffset val="100"/>
        <c:tickLblSkip val="1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1000"/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12700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2.6936026936026935E-2"/>
          <c:y val="0.79602835148227857"/>
          <c:w val="0.95622895622895621"/>
          <c:h val="0.18402366332884021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000"/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27175853137155"/>
          <c:y val="4.2819066353883793E-2"/>
          <c:w val="0.87990308670533779"/>
          <c:h val="0.63626570271148297"/>
        </c:manualLayout>
      </c:layout>
      <c:lineChart>
        <c:grouping val="standard"/>
        <c:varyColors val="0"/>
        <c:ser>
          <c:idx val="0"/>
          <c:order val="0"/>
          <c:tx>
            <c:strRef>
              <c:f>'Comparison with group'!$C$5:$H$5</c:f>
              <c:strCache>
                <c:ptCount val="1"/>
                <c:pt idx="0">
                  <c:v>Укргазбанк</c:v>
                </c:pt>
              </c:strCache>
            </c:strRef>
          </c:tx>
          <c:spPr>
            <a:ln w="31750" cmpd="sng">
              <a:solidFill>
                <a:srgbClr val="057D46"/>
              </a:solidFill>
              <a:prstDash val="solid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('Comparison with group'!$B$7:$B$9,'Comparison with group'!$B$11:$B$13)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with group'!$F$7:$F$9,'Comparison with group'!$F$11:$F$13)</c:f>
              <c:numCache>
                <c:formatCode>0.0%</c:formatCode>
                <c:ptCount val="6"/>
                <c:pt idx="0">
                  <c:v>0.16370000000000001</c:v>
                </c:pt>
                <c:pt idx="1">
                  <c:v>0.1477</c:v>
                </c:pt>
                <c:pt idx="2">
                  <c:v>0.1477</c:v>
                </c:pt>
                <c:pt idx="3">
                  <c:v>0.18099999999999999</c:v>
                </c:pt>
                <c:pt idx="4">
                  <c:v>0.21490000000000001</c:v>
                </c:pt>
                <c:pt idx="5">
                  <c:v>0.23960000000000001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D-47AF-8F6F-6A520B639176}"/>
            </c:ext>
          </c:extLst>
        </c:ser>
        <c:ser>
          <c:idx val="1"/>
          <c:order val="1"/>
          <c:tx>
            <c:strRef>
              <c:f>'Comparison with group'!$I$5:$N$5</c:f>
              <c:strCache>
                <c:ptCount val="1"/>
                <c:pt idx="0">
                  <c:v>Усі банки, що проходили стрес-тестування</c:v>
                </c:pt>
              </c:strCache>
            </c:strRef>
          </c:tx>
          <c:spPr>
            <a:ln w="31750" cmpd="sng">
              <a:solidFill>
                <a:srgbClr val="91C864"/>
              </a:solidFill>
              <a:prstDash val="solid"/>
            </a:ln>
          </c:spPr>
          <c:marker>
            <c:symbol val="none"/>
          </c:marker>
          <c:cat>
            <c:strRef>
              <c:f>('Comparison with group'!$B$7:$B$9,'Comparison with group'!$B$11:$B$13)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with group'!$L$7:$L$9,'Comparison with group'!$L$11:$L$13)</c:f>
              <c:numCache>
                <c:formatCode>0.0%</c:formatCode>
                <c:ptCount val="6"/>
                <c:pt idx="0">
                  <c:v>0.16668763288630603</c:v>
                </c:pt>
                <c:pt idx="1">
                  <c:v>0.15916542246657989</c:v>
                </c:pt>
                <c:pt idx="2">
                  <c:v>0.15916145301195131</c:v>
                </c:pt>
                <c:pt idx="3">
                  <c:v>0.23068575645367453</c:v>
                </c:pt>
                <c:pt idx="4">
                  <c:v>0.28207501102388005</c:v>
                </c:pt>
                <c:pt idx="5">
                  <c:v>0.32618239968055962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D-47AF-8F6F-6A520B639176}"/>
            </c:ext>
          </c:extLst>
        </c:ser>
        <c:ser>
          <c:idx val="3"/>
          <c:order val="2"/>
          <c:tx>
            <c:strRef>
              <c:f>'Comparison with group'!$O$5:$T$5</c:f>
              <c:strCache>
                <c:ptCount val="1"/>
                <c:pt idx="0">
                  <c:v>Банки з державною часткою</c:v>
                </c:pt>
              </c:strCache>
            </c:strRef>
          </c:tx>
          <c:spPr>
            <a:ln w="31750" cmpd="sng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strRef>
              <c:f>('Comparison with group'!$B$7:$B$9,'Comparison with group'!$B$11:$B$13)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with group'!$R$7:$R$9,'Comparison with group'!$R$11:$R$13)</c:f>
              <c:numCache>
                <c:formatCode>0.0%</c:formatCode>
                <c:ptCount val="6"/>
                <c:pt idx="0">
                  <c:v>0.1466036221491514</c:v>
                </c:pt>
                <c:pt idx="1">
                  <c:v>0.13745256411970064</c:v>
                </c:pt>
                <c:pt idx="2">
                  <c:v>0.13745256411970064</c:v>
                </c:pt>
                <c:pt idx="3">
                  <c:v>0.21303855605769143</c:v>
                </c:pt>
                <c:pt idx="4">
                  <c:v>0.28010343873553062</c:v>
                </c:pt>
                <c:pt idx="5">
                  <c:v>0.33812900009791619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AD-47AF-8F6F-6A520B639176}"/>
            </c:ext>
          </c:extLst>
        </c:ser>
        <c:ser>
          <c:idx val="2"/>
          <c:order val="3"/>
          <c:tx>
            <c:strRef>
              <c:f>'Comparison with group'!$U$5:$U$6</c:f>
              <c:strCache>
                <c:ptCount val="2"/>
                <c:pt idx="0">
                  <c:v>Граничне значення НРК</c:v>
                </c:pt>
              </c:strCache>
            </c:strRef>
          </c:tx>
          <c:spPr>
            <a:ln w="31750" cmpd="sng">
              <a:solidFill>
                <a:srgbClr val="DC4B64"/>
              </a:solidFill>
              <a:prstDash val="dash"/>
            </a:ln>
          </c:spPr>
          <c:marker>
            <c:symbol val="none"/>
          </c:marker>
          <c:cat>
            <c:strRef>
              <c:f>('Comparison with group'!$B$7:$B$9,'Comparison with group'!$B$11:$B$13)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with group'!$U$7:$U$9,'Comparison with group'!$U$11,'Comparison with group'!$U$12,'Comparison with group'!$U$13)</c:f>
              <c:numCache>
                <c:formatCode>0%</c:formatCode>
                <c:ptCount val="6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AD-47AF-8F6F-6A520B639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803832"/>
        <c:axId val="409802192"/>
      </c:lineChart>
      <c:catAx>
        <c:axId val="40980383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tickLblSkip val="1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100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12700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2.6945635324242719E-2"/>
          <c:y val="0.79602835148227857"/>
          <c:w val="0.95657005401061646"/>
          <c:h val="0.18402366332884021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56884295713036"/>
          <c:y val="4.2819066353883793E-2"/>
          <c:w val="0.88280484470691167"/>
          <c:h val="0.63626570271148297"/>
        </c:manualLayout>
      </c:layout>
      <c:lineChart>
        <c:grouping val="standard"/>
        <c:varyColors val="0"/>
        <c:ser>
          <c:idx val="0"/>
          <c:order val="0"/>
          <c:tx>
            <c:strRef>
              <c:f>'Comparison with group'!$C$5:$H$5</c:f>
              <c:strCache>
                <c:ptCount val="1"/>
                <c:pt idx="0">
                  <c:v>Укргазбанк</c:v>
                </c:pt>
              </c:strCache>
            </c:strRef>
          </c:tx>
          <c:spPr>
            <a:ln w="31750" cmpd="sng">
              <a:solidFill>
                <a:srgbClr val="057D46"/>
              </a:solidFill>
              <a:prstDash val="solid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('Comparison with group'!$B$7:$B$9,'Comparison with group'!$B$15:$B$17)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with group'!$G$7:$G$9,'Comparison with group'!$G$15:$G$17)</c:f>
              <c:numCache>
                <c:formatCode>0.0%</c:formatCode>
                <c:ptCount val="6"/>
                <c:pt idx="0">
                  <c:v>0.16370000000000001</c:v>
                </c:pt>
                <c:pt idx="1">
                  <c:v>0.1477</c:v>
                </c:pt>
                <c:pt idx="2">
                  <c:v>0.1477</c:v>
                </c:pt>
                <c:pt idx="3">
                  <c:v>0.1467</c:v>
                </c:pt>
                <c:pt idx="4">
                  <c:v>0.1328</c:v>
                </c:pt>
                <c:pt idx="5">
                  <c:v>0.1497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D-452B-825D-3288965A629D}"/>
            </c:ext>
          </c:extLst>
        </c:ser>
        <c:ser>
          <c:idx val="1"/>
          <c:order val="1"/>
          <c:tx>
            <c:strRef>
              <c:f>'Comparison with group'!$I$5:$N$5</c:f>
              <c:strCache>
                <c:ptCount val="1"/>
                <c:pt idx="0">
                  <c:v>Усі банки, що проходили стрес-тестування</c:v>
                </c:pt>
              </c:strCache>
            </c:strRef>
          </c:tx>
          <c:spPr>
            <a:ln w="31750" cmpd="sng">
              <a:solidFill>
                <a:srgbClr val="91C864"/>
              </a:solidFill>
              <a:prstDash val="solid"/>
            </a:ln>
          </c:spPr>
          <c:marker>
            <c:symbol val="none"/>
          </c:marker>
          <c:cat>
            <c:strRef>
              <c:f>('Comparison with group'!$B$7:$B$9,'Comparison with group'!$B$15:$B$17)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with group'!$M$7:$M$9,'Comparison with group'!$M$15:$M$17)</c:f>
              <c:numCache>
                <c:formatCode>0.0%</c:formatCode>
                <c:ptCount val="6"/>
                <c:pt idx="0">
                  <c:v>0.16260850018663373</c:v>
                </c:pt>
                <c:pt idx="1">
                  <c:v>0.15505159098187141</c:v>
                </c:pt>
                <c:pt idx="2">
                  <c:v>0.15504759871517435</c:v>
                </c:pt>
                <c:pt idx="3">
                  <c:v>0.20409476899198448</c:v>
                </c:pt>
                <c:pt idx="4">
                  <c:v>0.23320648432121174</c:v>
                </c:pt>
                <c:pt idx="5">
                  <c:v>0.27960172630069891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D-452B-825D-3288965A629D}"/>
            </c:ext>
          </c:extLst>
        </c:ser>
        <c:ser>
          <c:idx val="3"/>
          <c:order val="2"/>
          <c:tx>
            <c:strRef>
              <c:f>'Comparison with group'!$O$5:$T$5</c:f>
              <c:strCache>
                <c:ptCount val="1"/>
                <c:pt idx="0">
                  <c:v>Банки з державною часткою</c:v>
                </c:pt>
              </c:strCache>
            </c:strRef>
          </c:tx>
          <c:spPr>
            <a:ln w="31750" cmpd="sng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strRef>
              <c:f>('Comparison with group'!$B$7:$B$9,'Comparison with group'!$B$15:$B$17)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with group'!$S$7:$S$9,'Comparison with group'!$S$15:$S$17)</c:f>
              <c:numCache>
                <c:formatCode>0.0%</c:formatCode>
                <c:ptCount val="6"/>
                <c:pt idx="0">
                  <c:v>0.14258100554649814</c:v>
                </c:pt>
                <c:pt idx="1">
                  <c:v>0.1333648458660458</c:v>
                </c:pt>
                <c:pt idx="2">
                  <c:v>0.1333648458660458</c:v>
                </c:pt>
                <c:pt idx="3">
                  <c:v>0.18772778731535752</c:v>
                </c:pt>
                <c:pt idx="4">
                  <c:v>0.23307812329124589</c:v>
                </c:pt>
                <c:pt idx="5">
                  <c:v>0.29302503032875082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2D-452B-825D-3288965A629D}"/>
            </c:ext>
          </c:extLst>
        </c:ser>
        <c:ser>
          <c:idx val="2"/>
          <c:order val="3"/>
          <c:tx>
            <c:strRef>
              <c:f>'Comparison with group'!$V$5:$V$6</c:f>
              <c:strCache>
                <c:ptCount val="2"/>
                <c:pt idx="0">
                  <c:v>Граничне значення НК1</c:v>
                </c:pt>
              </c:strCache>
            </c:strRef>
          </c:tx>
          <c:spPr>
            <a:ln w="31750" cmpd="sng">
              <a:solidFill>
                <a:srgbClr val="DC4B64"/>
              </a:solidFill>
              <a:prstDash val="dash"/>
            </a:ln>
          </c:spPr>
          <c:marker>
            <c:symbol val="none"/>
          </c:marker>
          <c:cat>
            <c:strRef>
              <c:f>('Comparison with group'!$B$7:$B$9,'Comparison with group'!$B$15:$B$17)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with group'!$V$7:$V$9,'Comparison with group'!$V$15:$V$17)</c:f>
              <c:numCache>
                <c:formatCode>0.0%</c:formatCode>
                <c:ptCount val="6"/>
                <c:pt idx="0">
                  <c:v>7.4999999999999997E-2</c:v>
                </c:pt>
                <c:pt idx="1">
                  <c:v>7.4999999999999997E-2</c:v>
                </c:pt>
                <c:pt idx="2">
                  <c:v>7.4999999999999997E-2</c:v>
                </c:pt>
                <c:pt idx="3">
                  <c:v>7.4999999999999997E-2</c:v>
                </c:pt>
                <c:pt idx="4">
                  <c:v>7.4999999999999997E-2</c:v>
                </c:pt>
                <c:pt idx="5">
                  <c:v>7.4999999999999997E-2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2D-452B-825D-3288965A6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803832"/>
        <c:axId val="409802192"/>
      </c:lineChart>
      <c:catAx>
        <c:axId val="40980383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tickLblSkip val="1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100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12700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2.6936026936026935E-2"/>
          <c:y val="0.78691050329445089"/>
          <c:w val="0.95622895622895621"/>
          <c:h val="0.19314151151666786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000"/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6003042543719"/>
          <c:y val="4.2896064977257023E-2"/>
          <c:w val="0.88220111924094813"/>
          <c:h val="0.63598636249563878"/>
        </c:manualLayout>
      </c:layout>
      <c:lineChart>
        <c:grouping val="standard"/>
        <c:varyColors val="0"/>
        <c:ser>
          <c:idx val="0"/>
          <c:order val="0"/>
          <c:tx>
            <c:strRef>
              <c:f>'Comparison with group'!$C$5:$H$5</c:f>
              <c:strCache>
                <c:ptCount val="1"/>
                <c:pt idx="0">
                  <c:v>Укргазбанк</c:v>
                </c:pt>
              </c:strCache>
            </c:strRef>
          </c:tx>
          <c:spPr>
            <a:ln w="31750" cmpd="sng">
              <a:solidFill>
                <a:srgbClr val="057D46"/>
              </a:solidFill>
              <a:prstDash val="solid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('Comparison with group'!$B$7:$B$9,'Comparison with group'!$B$15:$B$17)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with group'!$F$7:$F$9,'Comparison with group'!$F$15:$F$17)</c:f>
              <c:numCache>
                <c:formatCode>0.0%</c:formatCode>
                <c:ptCount val="6"/>
                <c:pt idx="0">
                  <c:v>0.16370000000000001</c:v>
                </c:pt>
                <c:pt idx="1">
                  <c:v>0.1477</c:v>
                </c:pt>
                <c:pt idx="2">
                  <c:v>0.1477</c:v>
                </c:pt>
                <c:pt idx="3">
                  <c:v>0.1467</c:v>
                </c:pt>
                <c:pt idx="4">
                  <c:v>0.1328</c:v>
                </c:pt>
                <c:pt idx="5">
                  <c:v>0.1497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6-49FF-8477-12FD4C374513}"/>
            </c:ext>
          </c:extLst>
        </c:ser>
        <c:ser>
          <c:idx val="1"/>
          <c:order val="1"/>
          <c:tx>
            <c:strRef>
              <c:f>'Comparison with group'!$I$5:$N$5</c:f>
              <c:strCache>
                <c:ptCount val="1"/>
                <c:pt idx="0">
                  <c:v>Усі банки, що проходили стрес-тестування</c:v>
                </c:pt>
              </c:strCache>
            </c:strRef>
          </c:tx>
          <c:spPr>
            <a:ln w="31750" cmpd="sng">
              <a:solidFill>
                <a:srgbClr val="91C864"/>
              </a:solidFill>
              <a:prstDash val="solid"/>
            </a:ln>
          </c:spPr>
          <c:marker>
            <c:symbol val="none"/>
          </c:marker>
          <c:cat>
            <c:strRef>
              <c:f>('Comparison with group'!$B$7:$B$9,'Comparison with group'!$B$15:$B$17)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with group'!$L$7:$L$9,'Comparison with group'!$L$15:$L$17)</c:f>
              <c:numCache>
                <c:formatCode>0.0%</c:formatCode>
                <c:ptCount val="6"/>
                <c:pt idx="0">
                  <c:v>0.16668763288630603</c:v>
                </c:pt>
                <c:pt idx="1">
                  <c:v>0.15916542246657989</c:v>
                </c:pt>
                <c:pt idx="2">
                  <c:v>0.15916145301195131</c:v>
                </c:pt>
                <c:pt idx="3">
                  <c:v>0.20752859739270421</c:v>
                </c:pt>
                <c:pt idx="4">
                  <c:v>0.23590473806096263</c:v>
                </c:pt>
                <c:pt idx="5">
                  <c:v>0.28155675686438486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6-49FF-8477-12FD4C374513}"/>
            </c:ext>
          </c:extLst>
        </c:ser>
        <c:ser>
          <c:idx val="3"/>
          <c:order val="2"/>
          <c:tx>
            <c:strRef>
              <c:f>'Comparison with group'!$O$5:$T$5</c:f>
              <c:strCache>
                <c:ptCount val="1"/>
                <c:pt idx="0">
                  <c:v>Банки з державною часткою</c:v>
                </c:pt>
              </c:strCache>
            </c:strRef>
          </c:tx>
          <c:spPr>
            <a:ln w="31750" cmpd="sng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strRef>
              <c:f>('Comparison with group'!$B$7:$B$9,'Comparison with group'!$B$15:$B$17)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with group'!$R$7:$R$9,'Comparison with group'!$R$15:$R$17)</c:f>
              <c:numCache>
                <c:formatCode>0.0%</c:formatCode>
                <c:ptCount val="6"/>
                <c:pt idx="0">
                  <c:v>0.1466036221491514</c:v>
                </c:pt>
                <c:pt idx="1">
                  <c:v>0.13745256411970064</c:v>
                </c:pt>
                <c:pt idx="2">
                  <c:v>0.13745256411970064</c:v>
                </c:pt>
                <c:pt idx="3">
                  <c:v>0.19098862375545872</c:v>
                </c:pt>
                <c:pt idx="4">
                  <c:v>0.23536927496310445</c:v>
                </c:pt>
                <c:pt idx="5">
                  <c:v>0.29421674661453978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6-49FF-8477-12FD4C374513}"/>
            </c:ext>
          </c:extLst>
        </c:ser>
        <c:ser>
          <c:idx val="2"/>
          <c:order val="3"/>
          <c:tx>
            <c:strRef>
              <c:f>'Comparison with group'!$U$5:$U$6</c:f>
              <c:strCache>
                <c:ptCount val="2"/>
                <c:pt idx="0">
                  <c:v>Граничне значення НРК</c:v>
                </c:pt>
              </c:strCache>
            </c:strRef>
          </c:tx>
          <c:spPr>
            <a:ln w="31750" cmpd="sng">
              <a:solidFill>
                <a:srgbClr val="DC4B64"/>
              </a:solidFill>
              <a:prstDash val="dash"/>
            </a:ln>
          </c:spPr>
          <c:marker>
            <c:symbol val="none"/>
          </c:marker>
          <c:cat>
            <c:strRef>
              <c:f>('Comparison with group'!$B$7:$B$9,'Comparison with group'!$B$15:$B$17)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with group'!$U$7:$U$9,'Comparison with group'!$U$15:$U$17)</c:f>
              <c:numCache>
                <c:formatCode>0%</c:formatCode>
                <c:ptCount val="6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36-49FF-8477-12FD4C374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803832"/>
        <c:axId val="409802192"/>
      </c:lineChart>
      <c:catAx>
        <c:axId val="40980383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tickLblSkip val="1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100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12700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2.6916837833205153E-2"/>
          <c:y val="0.78703479335090654"/>
          <c:w val="0.95554774307878287"/>
          <c:h val="0.19301735004812157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000"/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xMode val="edge"/>
          <c:yMode val="edge"/>
          <c:x val="0"/>
          <c:y val="1.7621145374449341E-2"/>
          <c:w val="0.95959595959595956"/>
          <c:h val="0.74008810572687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'Comparison of banks'!$D$4</c:f>
              <c:strCache>
                <c:ptCount val="1"/>
                <c:pt idx="0">
                  <c:v>Укргазбанк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banks'!$B$10:$B$12)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banks'!$C$6:$C$8,'Comparison of banks'!$C$10:$C$12)</c:f>
              <c:numCache>
                <c:formatCode>#,##0</c:formatCode>
                <c:ptCount val="6"/>
                <c:pt idx="0">
                  <c:v>13016</c:v>
                </c:pt>
                <c:pt idx="1">
                  <c:v>11545</c:v>
                </c:pt>
                <c:pt idx="2">
                  <c:v>11545</c:v>
                </c:pt>
                <c:pt idx="3">
                  <c:v>14801</c:v>
                </c:pt>
                <c:pt idx="4">
                  <c:v>18278</c:v>
                </c:pt>
                <c:pt idx="5">
                  <c:v>20658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F-40FB-8C3F-220B2F343546}"/>
            </c:ext>
          </c:extLst>
        </c:ser>
        <c:ser>
          <c:idx val="1"/>
          <c:order val="1"/>
          <c:tx>
            <c:strRef>
              <c:f>'Comparison of banks'!$J$4</c:f>
              <c:strCache>
                <c:ptCount val="1"/>
                <c:pt idx="0">
                  <c:v>Креді Агріколь Банк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banks'!$B$10:$B$12)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banks'!$I$6:$I$8,'Comparison of banks'!$I$10:$I$12)</c:f>
              <c:numCache>
                <c:formatCode>#,##0</c:formatCode>
                <c:ptCount val="6"/>
                <c:pt idx="0">
                  <c:v>8176</c:v>
                </c:pt>
                <c:pt idx="1">
                  <c:v>8200</c:v>
                </c:pt>
                <c:pt idx="2">
                  <c:v>8200</c:v>
                </c:pt>
                <c:pt idx="3">
                  <c:v>16599</c:v>
                </c:pt>
                <c:pt idx="4">
                  <c:v>19995</c:v>
                </c:pt>
                <c:pt idx="5">
                  <c:v>22757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3F-40FB-8C3F-220B2F343546}"/>
            </c:ext>
          </c:extLst>
        </c:ser>
        <c:ser>
          <c:idx val="2"/>
          <c:order val="2"/>
          <c:tx>
            <c:strRef>
              <c:f>'Comparison of banks'!$P$4</c:f>
              <c:strCache>
                <c:ptCount val="1"/>
                <c:pt idx="0">
                  <c:v>Правекс Банк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banks'!$B$10:$B$12)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banks'!$O$6:$O$8,'Comparison of banks'!$O$10:$O$12)</c:f>
              <c:numCache>
                <c:formatCode>#,##0</c:formatCode>
                <c:ptCount val="6"/>
                <c:pt idx="0">
                  <c:v>1560</c:v>
                </c:pt>
                <c:pt idx="1">
                  <c:v>1492</c:v>
                </c:pt>
                <c:pt idx="2">
                  <c:v>1492</c:v>
                </c:pt>
                <c:pt idx="3">
                  <c:v>1235</c:v>
                </c:pt>
                <c:pt idx="4">
                  <c:v>880</c:v>
                </c:pt>
                <c:pt idx="5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3F-40FB-8C3F-220B2F343546}"/>
            </c:ext>
          </c:extLst>
        </c:ser>
        <c:ser>
          <c:idx val="3"/>
          <c:order val="3"/>
          <c:tx>
            <c:strRef>
              <c:f>'Comparison of banks'!$V$4</c:f>
              <c:strCache>
                <c:ptCount val="1"/>
                <c:pt idx="0">
                  <c:v>ПУМБ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banks'!$B$10:$B$12)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banks'!$U$6:$U$8,'Comparison of banks'!$U$10:$U$12)</c:f>
              <c:numCache>
                <c:formatCode>#,##0</c:formatCode>
                <c:ptCount val="6"/>
                <c:pt idx="0">
                  <c:v>16997</c:v>
                </c:pt>
                <c:pt idx="1">
                  <c:v>16376</c:v>
                </c:pt>
                <c:pt idx="2">
                  <c:v>16376</c:v>
                </c:pt>
                <c:pt idx="3">
                  <c:v>21133</c:v>
                </c:pt>
                <c:pt idx="4">
                  <c:v>24261</c:v>
                </c:pt>
                <c:pt idx="5">
                  <c:v>26309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3F-40FB-8C3F-220B2F343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100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12700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5770925110132159"/>
          <c:w val="1"/>
          <c:h val="0.23788546255506607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00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97749179112382"/>
          <c:y val="4.3022265177548681E-2"/>
          <c:w val="0.86315935811884348"/>
          <c:h val="0.64807882302405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'Comparison of banks'!$D$4</c:f>
              <c:strCache>
                <c:ptCount val="1"/>
                <c:pt idx="0">
                  <c:v>Укргазбанк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banks'!$B$10:$B$12)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banks'!$H$6:$H$8,'Comparison of banks'!$H$10:$H$12)</c:f>
              <c:numCache>
                <c:formatCode>0.0%</c:formatCode>
                <c:ptCount val="6"/>
                <c:pt idx="0">
                  <c:v>0.16370000000000001</c:v>
                </c:pt>
                <c:pt idx="1">
                  <c:v>0.1477</c:v>
                </c:pt>
                <c:pt idx="2">
                  <c:v>0.1477</c:v>
                </c:pt>
                <c:pt idx="3">
                  <c:v>0.18099999999999999</c:v>
                </c:pt>
                <c:pt idx="4">
                  <c:v>0.21490000000000001</c:v>
                </c:pt>
                <c:pt idx="5">
                  <c:v>0.23960000000000001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7-4B33-A791-7B1CE5DBFE4C}"/>
            </c:ext>
          </c:extLst>
        </c:ser>
        <c:ser>
          <c:idx val="1"/>
          <c:order val="1"/>
          <c:tx>
            <c:strRef>
              <c:f>'Comparison of banks'!$J$4</c:f>
              <c:strCache>
                <c:ptCount val="1"/>
                <c:pt idx="0">
                  <c:v>Креді Агріколь Банк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banks'!$B$10:$B$12)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banks'!$N$6:$N$8,'Comparison of banks'!$N$10:$N$12)</c:f>
              <c:numCache>
                <c:formatCode>0.0%</c:formatCode>
                <c:ptCount val="6"/>
                <c:pt idx="0">
                  <c:v>0.1978</c:v>
                </c:pt>
                <c:pt idx="1">
                  <c:v>0.19850000000000001</c:v>
                </c:pt>
                <c:pt idx="2">
                  <c:v>0.19850000000000001</c:v>
                </c:pt>
                <c:pt idx="3">
                  <c:v>0.37130000000000002</c:v>
                </c:pt>
                <c:pt idx="4">
                  <c:v>0.42920000000000003</c:v>
                </c:pt>
                <c:pt idx="5">
                  <c:v>0.49180000000000001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07-4B33-A791-7B1CE5DBFE4C}"/>
            </c:ext>
          </c:extLst>
        </c:ser>
        <c:ser>
          <c:idx val="2"/>
          <c:order val="2"/>
          <c:tx>
            <c:strRef>
              <c:f>'Comparison of banks'!$P$4</c:f>
              <c:strCache>
                <c:ptCount val="1"/>
                <c:pt idx="0">
                  <c:v>Правекс Банк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banks'!$B$10:$B$12)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banks'!$T$6:$T$8,'Comparison of banks'!$T$10:$T$12)</c:f>
              <c:numCache>
                <c:formatCode>0.0%</c:formatCode>
                <c:ptCount val="6"/>
                <c:pt idx="0">
                  <c:v>0.38769999999999999</c:v>
                </c:pt>
                <c:pt idx="1">
                  <c:v>0.3674</c:v>
                </c:pt>
                <c:pt idx="2">
                  <c:v>0.36730000000000002</c:v>
                </c:pt>
                <c:pt idx="3">
                  <c:v>0.30459999999999998</c:v>
                </c:pt>
                <c:pt idx="4">
                  <c:v>0.21410000000000001</c:v>
                </c:pt>
                <c:pt idx="5">
                  <c:v>0.1037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07-4B33-A791-7B1CE5DBFE4C}"/>
            </c:ext>
          </c:extLst>
        </c:ser>
        <c:ser>
          <c:idx val="3"/>
          <c:order val="3"/>
          <c:tx>
            <c:strRef>
              <c:f>'Comparison of banks'!$V$4</c:f>
              <c:strCache>
                <c:ptCount val="1"/>
                <c:pt idx="0">
                  <c:v>ПУМБ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banks'!$B$10:$B$12)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banks'!$Z$6:$Z$8,'Comparison of banks'!$Z$10:$Z$12)</c:f>
              <c:numCache>
                <c:formatCode>0.0%</c:formatCode>
                <c:ptCount val="6"/>
                <c:pt idx="0">
                  <c:v>0.16270000000000001</c:v>
                </c:pt>
                <c:pt idx="1">
                  <c:v>0.15670000000000001</c:v>
                </c:pt>
                <c:pt idx="2">
                  <c:v>0.15670000000000001</c:v>
                </c:pt>
                <c:pt idx="3">
                  <c:v>0.1993</c:v>
                </c:pt>
                <c:pt idx="4">
                  <c:v>0.22539999999999999</c:v>
                </c:pt>
                <c:pt idx="5">
                  <c:v>0.24479999999999999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07-4B33-A791-7B1CE5DBF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80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12700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5770925110132159"/>
          <c:w val="0.95622895622895621"/>
          <c:h val="0.23788546255506607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10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666534107479"/>
          <c:y val="4.4691456519476917E-2"/>
          <c:w val="0.84909611111111116"/>
          <c:h val="0.60002361111111102"/>
        </c:manualLayout>
      </c:layout>
      <c:lineChart>
        <c:grouping val="standard"/>
        <c:varyColors val="0"/>
        <c:ser>
          <c:idx val="0"/>
          <c:order val="0"/>
          <c:tx>
            <c:strRef>
              <c:f>'Individual banks'!$F$4:$H$4</c:f>
              <c:strCache>
                <c:ptCount val="3"/>
                <c:pt idx="0">
                  <c:v>За базовим макроекономічним сценарієм</c:v>
                </c:pt>
              </c:strCache>
            </c:strRef>
          </c:tx>
          <c:spPr>
            <a:ln w="31750" cmpd="sng">
              <a:solidFill>
                <a:srgbClr val="057D4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68B017AE-6485-4FD1-9D6C-B77E69D48274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333-45EA-8782-BA9CDD94455A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6A53A213-6282-41FA-B6F4-617491F53B5A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9333-45EA-8782-BA9CDD94455A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5EF1AE7D-8EF6-4273-B4BC-9A0F8D86D168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333-45EA-8782-BA9CDD94455A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C59CC214-4F4A-478F-BA4B-A53791007C58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333-45EA-8782-BA9CDD94455A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A1A328CD-442B-464F-96C9-EBB74FF35DE8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333-45EA-8782-BA9CDD94455A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36740D2B-3973-419D-AD43-4C89DE2D9A87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333-45EA-8782-BA9CDD94455A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('Individual banks'!$C$4:$C$6,'Individual banks'!$D$4:$D$6,'Individual banks'!$E$4,'Individual banks'!$F$5:$H$5)</c:f>
              <c:strCache>
                <c:ptCount val="6"/>
                <c:pt idx="0">
                  <c:v>Дані банку на 01.01.25</c:v>
                </c:pt>
                <c:pt idx="1">
                  <c:v>Скориговані дані банку</c:v>
                </c:pt>
                <c:pt idx="2">
                  <c:v>AQR на 01.01.25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'Individual banks'!$C$12:$H$12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'Individual banks'!$C$12:$H$12</c15:f>
                <c15:dlblRangeCache>
                  <c:ptCount val="6"/>
                </c15:dlblRangeCache>
              </c15:datalabelsRange>
            </c:ext>
            <c:ext xmlns:c16="http://schemas.microsoft.com/office/drawing/2014/chart" uri="{C3380CC4-5D6E-409C-BE32-E72D297353CC}">
              <c16:uniqueId val="{00000000-7D28-4A8B-B46D-4FB55B36D2BB}"/>
            </c:ext>
          </c:extLst>
        </c:ser>
        <c:ser>
          <c:idx val="1"/>
          <c:order val="1"/>
          <c:tx>
            <c:strRef>
              <c:f>'Individual banks'!$I$4:$K$4</c:f>
              <c:strCache>
                <c:ptCount val="3"/>
                <c:pt idx="0">
                  <c:v>За несприятливим макроекономічним сценарієм</c:v>
                </c:pt>
              </c:strCache>
            </c:strRef>
          </c:tx>
          <c:spPr>
            <a:ln w="31750" cmpd="sng">
              <a:solidFill>
                <a:srgbClr val="91C864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1C66-42D6-97A5-AC051A38C7E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93-4ED7-A564-6A000C1E9EB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93-4ED7-A564-6A000C1E9EB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66-42D6-97A5-AC051A38C7EB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9F51394-F03E-47BD-A77C-F370AFECDEFF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333-45EA-8782-BA9CDD94455A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186AA9A9-4D27-4559-BC39-8832E7A32C01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333-45EA-8782-BA9CDD94455A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95228A8B-4F28-4F70-AEB0-9AE4FD61122C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9333-45EA-8782-BA9CDD94455A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('Individual banks'!$C$4:$C$6,'Individual banks'!$D$4:$D$6,'Individual banks'!$E$4,'Individual banks'!$F$5:$H$5)</c:f>
              <c:strCache>
                <c:ptCount val="6"/>
                <c:pt idx="0">
                  <c:v>Дані банку на 01.01.25</c:v>
                </c:pt>
                <c:pt idx="1">
                  <c:v>Скориговані дані банку</c:v>
                </c:pt>
                <c:pt idx="2">
                  <c:v>AQR на 01.01.25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('Individual banks'!$C$12:$E$12,'Individual banks'!$I$12:$K$12)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('Individual banks'!$C$12:$E$12,'Individual banks'!$I$12,'Individual banks'!$J$12,'Individual banks'!$K$12)</c15:f>
                <c15:dlblRangeCache>
                  <c:ptCount val="6"/>
                </c15:dlblRangeCache>
              </c15:datalabelsRange>
            </c:ext>
            <c:ext xmlns:c16="http://schemas.microsoft.com/office/drawing/2014/chart" uri="{C3380CC4-5D6E-409C-BE32-E72D297353CC}">
              <c16:uniqueId val="{00000004-7D28-4A8B-B46D-4FB55B36D2BB}"/>
            </c:ext>
          </c:extLst>
        </c:ser>
        <c:ser>
          <c:idx val="2"/>
          <c:order val="2"/>
          <c:tx>
            <c:strRef>
              <c:f>'Individual banks'!$B$13</c:f>
              <c:strCache>
                <c:ptCount val="1"/>
                <c:pt idx="0">
                  <c:v>Граничне значення НOK1</c:v>
                </c:pt>
              </c:strCache>
            </c:strRef>
          </c:tx>
          <c:spPr>
            <a:ln w="25400">
              <a:solidFill>
                <a:schemeClr val="accent4"/>
              </a:solidFill>
              <a:prstDash val="dash"/>
            </a:ln>
          </c:spPr>
          <c:marker>
            <c:symbol val="none"/>
          </c:marker>
          <c:dLbls>
            <c:dLbl>
              <c:idx val="5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693-4ED7-A564-6A000C1E9E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4"/>
                    </a:solidFill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('Individual banks'!$C$4:$C$6,'Individual banks'!$D$4:$D$6,'Individual banks'!$E$4,'Individual banks'!$F$5:$H$5)</c:f>
              <c:strCache>
                <c:ptCount val="6"/>
                <c:pt idx="0">
                  <c:v>Дані банку на 01.01.25</c:v>
                </c:pt>
                <c:pt idx="1">
                  <c:v>Скориговані дані банку</c:v>
                </c:pt>
                <c:pt idx="2">
                  <c:v>AQR на 01.01.25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'Individual banks'!$C$13:$H$13</c:f>
              <c:numCache>
                <c:formatCode>0.000%</c:formatCode>
                <c:ptCount val="6"/>
                <c:pt idx="0">
                  <c:v>5.6250000000000001E-2</c:v>
                </c:pt>
                <c:pt idx="1">
                  <c:v>5.6250000000000001E-2</c:v>
                </c:pt>
                <c:pt idx="2">
                  <c:v>5.6250000000000001E-2</c:v>
                </c:pt>
                <c:pt idx="3">
                  <c:v>5.6250000000000001E-2</c:v>
                </c:pt>
                <c:pt idx="4">
                  <c:v>5.6250000000000001E-2</c:v>
                </c:pt>
                <c:pt idx="5">
                  <c:v>5.6250000000000001E-2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93-4ED7-A564-6A000C1E9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803832"/>
        <c:axId val="409802192"/>
      </c:lineChart>
      <c:catAx>
        <c:axId val="40980383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tickLblSkip val="1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80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12700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1.6352725366876313E-2"/>
          <c:y val="0.77093854166666664"/>
          <c:w val="0.76873978922522468"/>
          <c:h val="0.22217938656760716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000"/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84702297936716"/>
          <c:y val="4.3595360824742267E-2"/>
          <c:w val="0.85875075678885282"/>
          <c:h val="0.672138101374570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'Comparison of banks'!$D$4</c:f>
              <c:strCache>
                <c:ptCount val="1"/>
                <c:pt idx="0">
                  <c:v>Укргазбанк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banks'!$B$14:$B$16)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banks'!$C$6:$C$8,'Comparison of banks'!$C$14:$C$16)</c:f>
              <c:numCache>
                <c:formatCode>#,##0</c:formatCode>
                <c:ptCount val="6"/>
                <c:pt idx="0">
                  <c:v>13016</c:v>
                </c:pt>
                <c:pt idx="1">
                  <c:v>11545</c:v>
                </c:pt>
                <c:pt idx="2">
                  <c:v>11545</c:v>
                </c:pt>
                <c:pt idx="3">
                  <c:v>12269</c:v>
                </c:pt>
                <c:pt idx="4">
                  <c:v>11558</c:v>
                </c:pt>
                <c:pt idx="5">
                  <c:v>13119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03-428D-ADF3-1215E275A178}"/>
            </c:ext>
          </c:extLst>
        </c:ser>
        <c:ser>
          <c:idx val="1"/>
          <c:order val="1"/>
          <c:tx>
            <c:strRef>
              <c:f>'Comparison of banks'!$J$4</c:f>
              <c:strCache>
                <c:ptCount val="1"/>
                <c:pt idx="0">
                  <c:v>Креді Агріколь Банк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banks'!$B$14:$B$16)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banks'!$I$6:$I$8,'Comparison of banks'!$I$14:$I$16)</c:f>
              <c:numCache>
                <c:formatCode>#,##0</c:formatCode>
                <c:ptCount val="6"/>
                <c:pt idx="0">
                  <c:v>8176</c:v>
                </c:pt>
                <c:pt idx="1">
                  <c:v>8200</c:v>
                </c:pt>
                <c:pt idx="2">
                  <c:v>8200</c:v>
                </c:pt>
                <c:pt idx="3">
                  <c:v>15986</c:v>
                </c:pt>
                <c:pt idx="4">
                  <c:v>18865</c:v>
                </c:pt>
                <c:pt idx="5">
                  <c:v>22186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03-428D-ADF3-1215E275A178}"/>
            </c:ext>
          </c:extLst>
        </c:ser>
        <c:ser>
          <c:idx val="2"/>
          <c:order val="2"/>
          <c:tx>
            <c:strRef>
              <c:f>'Comparison of banks'!$P$4</c:f>
              <c:strCache>
                <c:ptCount val="1"/>
                <c:pt idx="0">
                  <c:v>Правекс Банк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banks'!$B$14:$B$16)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banks'!$O$6:$O$8,'Comparison of banks'!$O$14:$O$16)</c:f>
              <c:numCache>
                <c:formatCode>#,##0</c:formatCode>
                <c:ptCount val="6"/>
                <c:pt idx="0">
                  <c:v>1560</c:v>
                </c:pt>
                <c:pt idx="1">
                  <c:v>1492</c:v>
                </c:pt>
                <c:pt idx="2">
                  <c:v>1492</c:v>
                </c:pt>
                <c:pt idx="3">
                  <c:v>1029</c:v>
                </c:pt>
                <c:pt idx="4">
                  <c:v>376</c:v>
                </c:pt>
                <c:pt idx="5">
                  <c:v>-80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03-428D-ADF3-1215E275A178}"/>
            </c:ext>
          </c:extLst>
        </c:ser>
        <c:ser>
          <c:idx val="3"/>
          <c:order val="3"/>
          <c:tx>
            <c:strRef>
              <c:f>'Comparison of banks'!$V$4</c:f>
              <c:strCache>
                <c:ptCount val="1"/>
                <c:pt idx="0">
                  <c:v>ПУМБ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banks'!$B$14:$B$16)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banks'!$U$6:$U$8,'Comparison of banks'!$U$14:$U$16)</c:f>
              <c:numCache>
                <c:formatCode>#,##0</c:formatCode>
                <c:ptCount val="6"/>
                <c:pt idx="0">
                  <c:v>16997</c:v>
                </c:pt>
                <c:pt idx="1">
                  <c:v>16376</c:v>
                </c:pt>
                <c:pt idx="2">
                  <c:v>16376</c:v>
                </c:pt>
                <c:pt idx="3">
                  <c:v>17541</c:v>
                </c:pt>
                <c:pt idx="4">
                  <c:v>17093</c:v>
                </c:pt>
                <c:pt idx="5">
                  <c:v>18666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03-428D-ADF3-1215E275A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80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12700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7160320500606705"/>
          <c:w val="1"/>
          <c:h val="0.22839679499393295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08261836669843E-2"/>
          <c:y val="3.8623997709049257E-2"/>
          <c:w val="0.88078725770575161"/>
          <c:h val="0.64307130584192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'Comparison of banks'!$D$4</c:f>
              <c:strCache>
                <c:ptCount val="1"/>
                <c:pt idx="0">
                  <c:v>Укргазбанк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banks'!$B$14:$B$16)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banks'!$H$6:$H$8,'Comparison of banks'!$H$14:$H$16)</c:f>
              <c:numCache>
                <c:formatCode>0.0%</c:formatCode>
                <c:ptCount val="6"/>
                <c:pt idx="0">
                  <c:v>0.16370000000000001</c:v>
                </c:pt>
                <c:pt idx="1">
                  <c:v>0.1477</c:v>
                </c:pt>
                <c:pt idx="2">
                  <c:v>0.1477</c:v>
                </c:pt>
                <c:pt idx="3">
                  <c:v>0.1467</c:v>
                </c:pt>
                <c:pt idx="4">
                  <c:v>0.1328</c:v>
                </c:pt>
                <c:pt idx="5">
                  <c:v>0.1497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9-4AE6-91E4-EA6768A5DE7A}"/>
            </c:ext>
          </c:extLst>
        </c:ser>
        <c:ser>
          <c:idx val="1"/>
          <c:order val="1"/>
          <c:tx>
            <c:strRef>
              <c:f>'Comparison of banks'!$J$4</c:f>
              <c:strCache>
                <c:ptCount val="1"/>
                <c:pt idx="0">
                  <c:v>Креді Агріколь Банк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banks'!$B$14:$B$16)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banks'!$N$6:$N$8,'Comparison of banks'!$N$14:$N$16)</c:f>
              <c:numCache>
                <c:formatCode>0.0%</c:formatCode>
                <c:ptCount val="6"/>
                <c:pt idx="0">
                  <c:v>0.1978</c:v>
                </c:pt>
                <c:pt idx="1">
                  <c:v>0.19850000000000001</c:v>
                </c:pt>
                <c:pt idx="2">
                  <c:v>0.19850000000000001</c:v>
                </c:pt>
                <c:pt idx="3">
                  <c:v>0.35060000000000002</c:v>
                </c:pt>
                <c:pt idx="4">
                  <c:v>0.39119999999999999</c:v>
                </c:pt>
                <c:pt idx="5">
                  <c:v>0.45979999999999999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89-4AE6-91E4-EA6768A5DE7A}"/>
            </c:ext>
          </c:extLst>
        </c:ser>
        <c:ser>
          <c:idx val="2"/>
          <c:order val="2"/>
          <c:tx>
            <c:strRef>
              <c:f>'Comparison of banks'!$P$4</c:f>
              <c:strCache>
                <c:ptCount val="1"/>
                <c:pt idx="0">
                  <c:v>Правекс Банк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banks'!$B$14:$B$16)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banks'!$T$6:$T$8,'Comparison of banks'!$T$14:$T$16)</c:f>
              <c:numCache>
                <c:formatCode>0.0%</c:formatCode>
                <c:ptCount val="6"/>
                <c:pt idx="0">
                  <c:v>0.38769999999999999</c:v>
                </c:pt>
                <c:pt idx="1">
                  <c:v>0.3674</c:v>
                </c:pt>
                <c:pt idx="2">
                  <c:v>0.36730000000000002</c:v>
                </c:pt>
                <c:pt idx="3">
                  <c:v>0.25459999999999999</c:v>
                </c:pt>
                <c:pt idx="4">
                  <c:v>9.5000000000000001E-2</c:v>
                </c:pt>
                <c:pt idx="5">
                  <c:v>-2.01E-2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89-4AE6-91E4-EA6768A5DE7A}"/>
            </c:ext>
          </c:extLst>
        </c:ser>
        <c:ser>
          <c:idx val="3"/>
          <c:order val="3"/>
          <c:tx>
            <c:strRef>
              <c:f>'Comparison of banks'!$V$4</c:f>
              <c:strCache>
                <c:ptCount val="1"/>
                <c:pt idx="0">
                  <c:v>ПУМБ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banks'!$B$14:$B$16)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banks'!$Z$6:$Z$8,'Comparison of banks'!$Z$14:$Z$16)</c:f>
              <c:numCache>
                <c:formatCode>0.0%</c:formatCode>
                <c:ptCount val="6"/>
                <c:pt idx="0">
                  <c:v>0.16270000000000001</c:v>
                </c:pt>
                <c:pt idx="1">
                  <c:v>0.15670000000000001</c:v>
                </c:pt>
                <c:pt idx="2">
                  <c:v>0.15670000000000001</c:v>
                </c:pt>
                <c:pt idx="3">
                  <c:v>0.16500000000000001</c:v>
                </c:pt>
                <c:pt idx="4">
                  <c:v>0.15939999999999999</c:v>
                </c:pt>
                <c:pt idx="5">
                  <c:v>0.17549999999999999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89-4AE6-91E4-EA6768A5D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/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12700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6411847306668301"/>
          <c:w val="1"/>
          <c:h val="0.23588152693331699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000"/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80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xMode val="edge"/>
          <c:yMode val="edge"/>
          <c:x val="0"/>
          <c:y val="1.7472698049420907E-2"/>
          <c:w val="0.95649057938039383"/>
          <c:h val="0.733853318075678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'Comparison of banks'!$D$4</c:f>
              <c:strCache>
                <c:ptCount val="1"/>
                <c:pt idx="0">
                  <c:v>Укргазбанк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banks'!$B$10:$B$12)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banks'!$D$6:$D$8,'Comparison of banks'!$D$10:$D$12)</c:f>
              <c:numCache>
                <c:formatCode>#,##0</c:formatCode>
                <c:ptCount val="6"/>
                <c:pt idx="0">
                  <c:v>13016</c:v>
                </c:pt>
                <c:pt idx="1">
                  <c:v>11545</c:v>
                </c:pt>
                <c:pt idx="2">
                  <c:v>11545</c:v>
                </c:pt>
                <c:pt idx="3">
                  <c:v>14801</c:v>
                </c:pt>
                <c:pt idx="4">
                  <c:v>18278</c:v>
                </c:pt>
                <c:pt idx="5">
                  <c:v>20658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F3-4CA8-8B9B-C2CE01E6A6B3}"/>
            </c:ext>
          </c:extLst>
        </c:ser>
        <c:ser>
          <c:idx val="1"/>
          <c:order val="1"/>
          <c:tx>
            <c:strRef>
              <c:f>'Comparison of banks'!$J$4</c:f>
              <c:strCache>
                <c:ptCount val="1"/>
                <c:pt idx="0">
                  <c:v>Креді Агріколь Банк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banks'!$B$10:$B$12)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banks'!$J$6:$J$8,'Comparison of banks'!$J$10:$J$12)</c:f>
              <c:numCache>
                <c:formatCode>#,##0</c:formatCode>
                <c:ptCount val="6"/>
                <c:pt idx="0">
                  <c:v>8176</c:v>
                </c:pt>
                <c:pt idx="1">
                  <c:v>8200</c:v>
                </c:pt>
                <c:pt idx="2">
                  <c:v>8200</c:v>
                </c:pt>
                <c:pt idx="3">
                  <c:v>16599</c:v>
                </c:pt>
                <c:pt idx="4">
                  <c:v>19995</c:v>
                </c:pt>
                <c:pt idx="5">
                  <c:v>22757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F3-4CA8-8B9B-C2CE01E6A6B3}"/>
            </c:ext>
          </c:extLst>
        </c:ser>
        <c:ser>
          <c:idx val="2"/>
          <c:order val="2"/>
          <c:tx>
            <c:strRef>
              <c:f>'Comparison of banks'!$P$4</c:f>
              <c:strCache>
                <c:ptCount val="1"/>
                <c:pt idx="0">
                  <c:v>Правекс Банк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banks'!$B$10:$B$12)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banks'!$P$6:$P$8,'Comparison of banks'!$P$10:$P$12)</c:f>
              <c:numCache>
                <c:formatCode>#,##0</c:formatCode>
                <c:ptCount val="6"/>
                <c:pt idx="0">
                  <c:v>1560</c:v>
                </c:pt>
                <c:pt idx="1">
                  <c:v>1492</c:v>
                </c:pt>
                <c:pt idx="2">
                  <c:v>1492</c:v>
                </c:pt>
                <c:pt idx="3">
                  <c:v>1235</c:v>
                </c:pt>
                <c:pt idx="4">
                  <c:v>880</c:v>
                </c:pt>
                <c:pt idx="5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F3-4CA8-8B9B-C2CE01E6A6B3}"/>
            </c:ext>
          </c:extLst>
        </c:ser>
        <c:ser>
          <c:idx val="3"/>
          <c:order val="3"/>
          <c:tx>
            <c:strRef>
              <c:f>'Comparison of banks'!$V$4</c:f>
              <c:strCache>
                <c:ptCount val="1"/>
                <c:pt idx="0">
                  <c:v>ПУМБ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banks'!$B$10:$B$12)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banks'!$V$6:$V$8,'Comparison of banks'!$V$10:$V$12)</c:f>
              <c:numCache>
                <c:formatCode>#,##0</c:formatCode>
                <c:ptCount val="6"/>
                <c:pt idx="0">
                  <c:v>16997</c:v>
                </c:pt>
                <c:pt idx="1">
                  <c:v>16376</c:v>
                </c:pt>
                <c:pt idx="2">
                  <c:v>16376</c:v>
                </c:pt>
                <c:pt idx="3">
                  <c:v>21133</c:v>
                </c:pt>
                <c:pt idx="4">
                  <c:v>24261</c:v>
                </c:pt>
                <c:pt idx="5">
                  <c:v>26309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F3-4CA8-8B9B-C2CE01E6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/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12700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5132601612509897"/>
          <c:w val="1"/>
          <c:h val="0.23588142366718226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00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xMode val="edge"/>
          <c:yMode val="edge"/>
          <c:x val="0"/>
          <c:y val="1.7472698049420907E-2"/>
          <c:w val="0.95683471304871937"/>
          <c:h val="0.733853318075678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'Comparison of banks'!$D$4</c:f>
              <c:strCache>
                <c:ptCount val="1"/>
                <c:pt idx="0">
                  <c:v>Укргазбанк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banks'!$B$10:$B$12)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banks'!$E$6:$E$8,'Comparison of banks'!$E$10:$E$12)</c:f>
              <c:numCache>
                <c:formatCode>#,##0</c:formatCode>
                <c:ptCount val="6"/>
                <c:pt idx="0">
                  <c:v>13016</c:v>
                </c:pt>
                <c:pt idx="1">
                  <c:v>11545</c:v>
                </c:pt>
                <c:pt idx="2">
                  <c:v>11545</c:v>
                </c:pt>
                <c:pt idx="3">
                  <c:v>14801</c:v>
                </c:pt>
                <c:pt idx="4">
                  <c:v>18278</c:v>
                </c:pt>
                <c:pt idx="5">
                  <c:v>20658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E-4AB5-977E-BA5930B5F2DE}"/>
            </c:ext>
          </c:extLst>
        </c:ser>
        <c:ser>
          <c:idx val="1"/>
          <c:order val="1"/>
          <c:tx>
            <c:strRef>
              <c:f>'Comparison of banks'!$J$4</c:f>
              <c:strCache>
                <c:ptCount val="1"/>
                <c:pt idx="0">
                  <c:v>Креді Агріколь Банк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banks'!$B$10:$B$12)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banks'!$K$6:$K$8,'Comparison of banks'!$K$10:$K$12)</c:f>
              <c:numCache>
                <c:formatCode>#,##0</c:formatCode>
                <c:ptCount val="6"/>
                <c:pt idx="0">
                  <c:v>8323</c:v>
                </c:pt>
                <c:pt idx="1">
                  <c:v>8347</c:v>
                </c:pt>
                <c:pt idx="2">
                  <c:v>8347</c:v>
                </c:pt>
                <c:pt idx="3">
                  <c:v>16666</c:v>
                </c:pt>
                <c:pt idx="4">
                  <c:v>19995</c:v>
                </c:pt>
                <c:pt idx="5">
                  <c:v>22757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6E-4AB5-977E-BA5930B5F2DE}"/>
            </c:ext>
          </c:extLst>
        </c:ser>
        <c:ser>
          <c:idx val="2"/>
          <c:order val="2"/>
          <c:tx>
            <c:strRef>
              <c:f>'Comparison of banks'!$P$4</c:f>
              <c:strCache>
                <c:ptCount val="1"/>
                <c:pt idx="0">
                  <c:v>Правекс Банк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banks'!$B$10:$B$12)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banks'!$Q$6:$Q$8,'Comparison of banks'!$Q$10:$Q$12)</c:f>
              <c:numCache>
                <c:formatCode>#,##0</c:formatCode>
                <c:ptCount val="6"/>
                <c:pt idx="0">
                  <c:v>1562</c:v>
                </c:pt>
                <c:pt idx="1">
                  <c:v>1494</c:v>
                </c:pt>
                <c:pt idx="2">
                  <c:v>1494</c:v>
                </c:pt>
                <c:pt idx="3">
                  <c:v>1237</c:v>
                </c:pt>
                <c:pt idx="4">
                  <c:v>881</c:v>
                </c:pt>
                <c:pt idx="5">
                  <c:v>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6E-4AB5-977E-BA5930B5F2DE}"/>
            </c:ext>
          </c:extLst>
        </c:ser>
        <c:ser>
          <c:idx val="3"/>
          <c:order val="3"/>
          <c:tx>
            <c:strRef>
              <c:f>'Comparison of banks'!$V$4</c:f>
              <c:strCache>
                <c:ptCount val="1"/>
                <c:pt idx="0">
                  <c:v>ПУМБ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banks'!$B$10:$B$12)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banks'!$W$6:$W$8,'Comparison of banks'!$W$10:$W$12)</c:f>
              <c:numCache>
                <c:formatCode>#,##0</c:formatCode>
                <c:ptCount val="6"/>
                <c:pt idx="0">
                  <c:v>16997</c:v>
                </c:pt>
                <c:pt idx="1">
                  <c:v>16376</c:v>
                </c:pt>
                <c:pt idx="2">
                  <c:v>16376</c:v>
                </c:pt>
                <c:pt idx="3">
                  <c:v>21133</c:v>
                </c:pt>
                <c:pt idx="4">
                  <c:v>24261</c:v>
                </c:pt>
                <c:pt idx="5">
                  <c:v>26309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6E-4AB5-977E-BA5930B5F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100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12700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5132601612509897"/>
          <c:w val="1"/>
          <c:h val="0.23588142366718226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10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97749179112382"/>
          <c:y val="4.2882302405498285E-2"/>
          <c:w val="0.86212212689333767"/>
          <c:h val="0.642187857961053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'Comparison of banks'!$D$4</c:f>
              <c:strCache>
                <c:ptCount val="1"/>
                <c:pt idx="0">
                  <c:v>Укргазбанк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banks'!$B$10:$B$12)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banks'!$G$6:$G$8,'Comparison of banks'!$G$10:$G$12)</c:f>
              <c:numCache>
                <c:formatCode>0.0%</c:formatCode>
                <c:ptCount val="6"/>
                <c:pt idx="0">
                  <c:v>0.16370000000000001</c:v>
                </c:pt>
                <c:pt idx="1">
                  <c:v>0.1477</c:v>
                </c:pt>
                <c:pt idx="2">
                  <c:v>0.1477</c:v>
                </c:pt>
                <c:pt idx="3">
                  <c:v>0.18099999999999999</c:v>
                </c:pt>
                <c:pt idx="4">
                  <c:v>0.21490000000000001</c:v>
                </c:pt>
                <c:pt idx="5">
                  <c:v>0.23960000000000001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D2-43F0-9F7D-8469EEDC5E1F}"/>
            </c:ext>
          </c:extLst>
        </c:ser>
        <c:ser>
          <c:idx val="1"/>
          <c:order val="1"/>
          <c:tx>
            <c:strRef>
              <c:f>'Comparison of banks'!$J$4</c:f>
              <c:strCache>
                <c:ptCount val="1"/>
                <c:pt idx="0">
                  <c:v>Креді Агріколь Банк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banks'!$B$10:$B$12)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banks'!$M$6:$M$8,'Comparison of banks'!$M$10:$M$12)</c:f>
              <c:numCache>
                <c:formatCode>0.0%</c:formatCode>
                <c:ptCount val="6"/>
                <c:pt idx="0">
                  <c:v>0.1978</c:v>
                </c:pt>
                <c:pt idx="1">
                  <c:v>0.19850000000000001</c:v>
                </c:pt>
                <c:pt idx="2">
                  <c:v>0.19850000000000001</c:v>
                </c:pt>
                <c:pt idx="3">
                  <c:v>0.37130000000000002</c:v>
                </c:pt>
                <c:pt idx="4">
                  <c:v>0.42920000000000003</c:v>
                </c:pt>
                <c:pt idx="5">
                  <c:v>0.49180000000000001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D2-43F0-9F7D-8469EEDC5E1F}"/>
            </c:ext>
          </c:extLst>
        </c:ser>
        <c:ser>
          <c:idx val="2"/>
          <c:order val="2"/>
          <c:tx>
            <c:strRef>
              <c:f>'Comparison of banks'!$P$4</c:f>
              <c:strCache>
                <c:ptCount val="1"/>
                <c:pt idx="0">
                  <c:v>Правекс Банк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banks'!$B$10:$B$12)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banks'!$S$6:$S$8,'Comparison of banks'!$S$10:$S$12)</c:f>
              <c:numCache>
                <c:formatCode>0.0%</c:formatCode>
                <c:ptCount val="6"/>
                <c:pt idx="0">
                  <c:v>0.38769999999999999</c:v>
                </c:pt>
                <c:pt idx="1">
                  <c:v>0.3674</c:v>
                </c:pt>
                <c:pt idx="2">
                  <c:v>0.36730000000000002</c:v>
                </c:pt>
                <c:pt idx="3">
                  <c:v>0.30459999999999998</c:v>
                </c:pt>
                <c:pt idx="4">
                  <c:v>0.21410000000000001</c:v>
                </c:pt>
                <c:pt idx="5">
                  <c:v>0.1037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D2-43F0-9F7D-8469EEDC5E1F}"/>
            </c:ext>
          </c:extLst>
        </c:ser>
        <c:ser>
          <c:idx val="3"/>
          <c:order val="3"/>
          <c:tx>
            <c:strRef>
              <c:f>'Comparison of banks'!$V$4</c:f>
              <c:strCache>
                <c:ptCount val="1"/>
                <c:pt idx="0">
                  <c:v>ПУМБ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banks'!$B$10:$B$12)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banks'!$Y$6:$Y$8,'Comparison of banks'!$Y$10:$Y$12)</c:f>
              <c:numCache>
                <c:formatCode>0.0%</c:formatCode>
                <c:ptCount val="6"/>
                <c:pt idx="0">
                  <c:v>0.16270000000000001</c:v>
                </c:pt>
                <c:pt idx="1">
                  <c:v>0.15670000000000001</c:v>
                </c:pt>
                <c:pt idx="2">
                  <c:v>0.15670000000000001</c:v>
                </c:pt>
                <c:pt idx="3">
                  <c:v>0.1993</c:v>
                </c:pt>
                <c:pt idx="4">
                  <c:v>0.22539999999999999</c:v>
                </c:pt>
                <c:pt idx="5">
                  <c:v>0.24479999999999999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D2-43F0-9F7D-8469EEDC5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80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12700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5167788930059953"/>
          <c:w val="1"/>
          <c:h val="0.23599189547809521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10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97749179112382"/>
          <c:y val="4.2882302405498285E-2"/>
          <c:w val="0.86376125410443805"/>
          <c:h val="0.642187857961053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'Comparison of banks'!$D$4</c:f>
              <c:strCache>
                <c:ptCount val="1"/>
                <c:pt idx="0">
                  <c:v>Укргазбанк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banks'!$B$10:$B$12)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banks'!$F$6:$F$8,'Comparison of banks'!$F$10:$F$12)</c:f>
              <c:numCache>
                <c:formatCode>0.0%</c:formatCode>
                <c:ptCount val="6"/>
                <c:pt idx="0">
                  <c:v>0.16370000000000001</c:v>
                </c:pt>
                <c:pt idx="1">
                  <c:v>0.1477</c:v>
                </c:pt>
                <c:pt idx="2">
                  <c:v>0.1477</c:v>
                </c:pt>
                <c:pt idx="3">
                  <c:v>0.18099999999999999</c:v>
                </c:pt>
                <c:pt idx="4">
                  <c:v>0.21490000000000001</c:v>
                </c:pt>
                <c:pt idx="5">
                  <c:v>0.23960000000000001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DC-409A-B6BE-F5DDC4F9E9B2}"/>
            </c:ext>
          </c:extLst>
        </c:ser>
        <c:ser>
          <c:idx val="1"/>
          <c:order val="1"/>
          <c:tx>
            <c:strRef>
              <c:f>'Comparison of banks'!$J$4</c:f>
              <c:strCache>
                <c:ptCount val="1"/>
                <c:pt idx="0">
                  <c:v>Креді Агріколь Банк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banks'!$B$10:$B$12)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banks'!$L$6:$L$8,'Comparison of banks'!$L$10:$L$12)</c:f>
              <c:numCache>
                <c:formatCode>0.0%</c:formatCode>
                <c:ptCount val="6"/>
                <c:pt idx="0">
                  <c:v>0.2014</c:v>
                </c:pt>
                <c:pt idx="1">
                  <c:v>0.2021</c:v>
                </c:pt>
                <c:pt idx="2">
                  <c:v>0.2021</c:v>
                </c:pt>
                <c:pt idx="3">
                  <c:v>0.37280000000000002</c:v>
                </c:pt>
                <c:pt idx="4">
                  <c:v>0.42920000000000003</c:v>
                </c:pt>
                <c:pt idx="5">
                  <c:v>0.49180000000000001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DC-409A-B6BE-F5DDC4F9E9B2}"/>
            </c:ext>
          </c:extLst>
        </c:ser>
        <c:ser>
          <c:idx val="2"/>
          <c:order val="2"/>
          <c:tx>
            <c:strRef>
              <c:f>'Comparison of banks'!$P$4</c:f>
              <c:strCache>
                <c:ptCount val="1"/>
                <c:pt idx="0">
                  <c:v>Правекс Банк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banks'!$B$10:$B$12)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banks'!$R$6:$R$8,'Comparison of banks'!$R$10:$R$12)</c:f>
              <c:numCache>
                <c:formatCode>0.0%</c:formatCode>
                <c:ptCount val="6"/>
                <c:pt idx="0">
                  <c:v>0.38800000000000001</c:v>
                </c:pt>
                <c:pt idx="1">
                  <c:v>0.36780000000000002</c:v>
                </c:pt>
                <c:pt idx="2">
                  <c:v>0.36770000000000003</c:v>
                </c:pt>
                <c:pt idx="3">
                  <c:v>0.3049</c:v>
                </c:pt>
                <c:pt idx="4">
                  <c:v>0.2145</c:v>
                </c:pt>
                <c:pt idx="5">
                  <c:v>0.1041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DC-409A-B6BE-F5DDC4F9E9B2}"/>
            </c:ext>
          </c:extLst>
        </c:ser>
        <c:ser>
          <c:idx val="3"/>
          <c:order val="3"/>
          <c:tx>
            <c:strRef>
              <c:f>'Comparison of banks'!$V$4</c:f>
              <c:strCache>
                <c:ptCount val="1"/>
                <c:pt idx="0">
                  <c:v>ПУМБ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banks'!$B$10:$B$12)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banks'!$X$6:$X$8,'Comparison of banks'!$X$10:$X$12)</c:f>
              <c:numCache>
                <c:formatCode>0.0%</c:formatCode>
                <c:ptCount val="6"/>
                <c:pt idx="0">
                  <c:v>0.16270000000000001</c:v>
                </c:pt>
                <c:pt idx="1">
                  <c:v>0.15670000000000001</c:v>
                </c:pt>
                <c:pt idx="2">
                  <c:v>0.15670000000000001</c:v>
                </c:pt>
                <c:pt idx="3">
                  <c:v>0.1993</c:v>
                </c:pt>
                <c:pt idx="4">
                  <c:v>0.22539999999999999</c:v>
                </c:pt>
                <c:pt idx="5">
                  <c:v>0.24479999999999999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DC-409A-B6BE-F5DDC4F9E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80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12700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5167788930059953"/>
          <c:w val="1"/>
          <c:h val="0.23599189547809521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10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49385658298909"/>
          <c:y val="3.7790664375715925E-2"/>
          <c:w val="0.87867731172545294"/>
          <c:h val="0.647279138029782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'Comparison of banks'!$D$4</c:f>
              <c:strCache>
                <c:ptCount val="1"/>
                <c:pt idx="0">
                  <c:v>Укргазбанк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banks'!$B$14:$B$16)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banks'!$D$6:$D$8,'Comparison of banks'!$D$14:$D$16)</c:f>
              <c:numCache>
                <c:formatCode>#,##0</c:formatCode>
                <c:ptCount val="6"/>
                <c:pt idx="0">
                  <c:v>13016</c:v>
                </c:pt>
                <c:pt idx="1">
                  <c:v>11545</c:v>
                </c:pt>
                <c:pt idx="2">
                  <c:v>11545</c:v>
                </c:pt>
                <c:pt idx="3">
                  <c:v>12269</c:v>
                </c:pt>
                <c:pt idx="4">
                  <c:v>11558</c:v>
                </c:pt>
                <c:pt idx="5">
                  <c:v>13119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15-4102-BBDD-731111356B11}"/>
            </c:ext>
          </c:extLst>
        </c:ser>
        <c:ser>
          <c:idx val="1"/>
          <c:order val="1"/>
          <c:tx>
            <c:strRef>
              <c:f>'Comparison of banks'!$J$4</c:f>
              <c:strCache>
                <c:ptCount val="1"/>
                <c:pt idx="0">
                  <c:v>Креді Агріколь Банк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banks'!$B$14:$B$16)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banks'!$J$6:$J$8,'Comparison of banks'!$J$14:$J$16)</c:f>
              <c:numCache>
                <c:formatCode>#,##0</c:formatCode>
                <c:ptCount val="6"/>
                <c:pt idx="0">
                  <c:v>8176</c:v>
                </c:pt>
                <c:pt idx="1">
                  <c:v>8200</c:v>
                </c:pt>
                <c:pt idx="2">
                  <c:v>8200</c:v>
                </c:pt>
                <c:pt idx="3">
                  <c:v>15986</c:v>
                </c:pt>
                <c:pt idx="4">
                  <c:v>18865</c:v>
                </c:pt>
                <c:pt idx="5">
                  <c:v>22186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15-4102-BBDD-731111356B11}"/>
            </c:ext>
          </c:extLst>
        </c:ser>
        <c:ser>
          <c:idx val="2"/>
          <c:order val="2"/>
          <c:tx>
            <c:strRef>
              <c:f>'Comparison of banks'!$P$4</c:f>
              <c:strCache>
                <c:ptCount val="1"/>
                <c:pt idx="0">
                  <c:v>Правекс Банк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banks'!$B$14:$B$16)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banks'!$P$6:$P$8,'Comparison of banks'!$P$14:$P$16)</c:f>
              <c:numCache>
                <c:formatCode>#,##0</c:formatCode>
                <c:ptCount val="6"/>
                <c:pt idx="0">
                  <c:v>1560</c:v>
                </c:pt>
                <c:pt idx="1">
                  <c:v>1492</c:v>
                </c:pt>
                <c:pt idx="2">
                  <c:v>1492</c:v>
                </c:pt>
                <c:pt idx="3">
                  <c:v>1029</c:v>
                </c:pt>
                <c:pt idx="4">
                  <c:v>376</c:v>
                </c:pt>
                <c:pt idx="5">
                  <c:v>-80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15-4102-BBDD-731111356B11}"/>
            </c:ext>
          </c:extLst>
        </c:ser>
        <c:ser>
          <c:idx val="3"/>
          <c:order val="3"/>
          <c:tx>
            <c:strRef>
              <c:f>'Comparison of banks'!$V$4</c:f>
              <c:strCache>
                <c:ptCount val="1"/>
                <c:pt idx="0">
                  <c:v>ПУМБ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banks'!$B$14:$B$16)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banks'!$V$6:$V$8,'Comparison of banks'!$V$14:$V$16)</c:f>
              <c:numCache>
                <c:formatCode>#,##0</c:formatCode>
                <c:ptCount val="6"/>
                <c:pt idx="0">
                  <c:v>16997</c:v>
                </c:pt>
                <c:pt idx="1">
                  <c:v>16376</c:v>
                </c:pt>
                <c:pt idx="2">
                  <c:v>16376</c:v>
                </c:pt>
                <c:pt idx="3">
                  <c:v>17541</c:v>
                </c:pt>
                <c:pt idx="4">
                  <c:v>17093</c:v>
                </c:pt>
                <c:pt idx="5">
                  <c:v>18666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15-4102-BBDD-731111356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80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12700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5167763063943183"/>
          <c:w val="1"/>
          <c:h val="0.235991814270519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10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49435398898894"/>
          <c:y val="3.7790664375715925E-2"/>
          <c:w val="0.87997033139911907"/>
          <c:h val="0.647279138029782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'Comparison of banks'!$D$4</c:f>
              <c:strCache>
                <c:ptCount val="1"/>
                <c:pt idx="0">
                  <c:v>Укргазбанк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banks'!$B$14:$B$16)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banks'!$E$6:$E$8,'Comparison of banks'!$E$14:$E$16)</c:f>
              <c:numCache>
                <c:formatCode>#,##0</c:formatCode>
                <c:ptCount val="6"/>
                <c:pt idx="0">
                  <c:v>13016</c:v>
                </c:pt>
                <c:pt idx="1">
                  <c:v>11545</c:v>
                </c:pt>
                <c:pt idx="2">
                  <c:v>11545</c:v>
                </c:pt>
                <c:pt idx="3">
                  <c:v>12269</c:v>
                </c:pt>
                <c:pt idx="4">
                  <c:v>11558</c:v>
                </c:pt>
                <c:pt idx="5">
                  <c:v>13119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C1-433F-93B3-7A68D2F8A88B}"/>
            </c:ext>
          </c:extLst>
        </c:ser>
        <c:ser>
          <c:idx val="1"/>
          <c:order val="1"/>
          <c:tx>
            <c:strRef>
              <c:f>'Comparison of banks'!$J$4</c:f>
              <c:strCache>
                <c:ptCount val="1"/>
                <c:pt idx="0">
                  <c:v>Креді Агріколь Банк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banks'!$B$14:$B$16)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banks'!$K$6:$K$8,'Comparison of banks'!$K$14:$K$16)</c:f>
              <c:numCache>
                <c:formatCode>#,##0</c:formatCode>
                <c:ptCount val="6"/>
                <c:pt idx="0">
                  <c:v>8323</c:v>
                </c:pt>
                <c:pt idx="1">
                  <c:v>8347</c:v>
                </c:pt>
                <c:pt idx="2">
                  <c:v>8347</c:v>
                </c:pt>
                <c:pt idx="3">
                  <c:v>16058</c:v>
                </c:pt>
                <c:pt idx="4">
                  <c:v>18865</c:v>
                </c:pt>
                <c:pt idx="5">
                  <c:v>22186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C1-433F-93B3-7A68D2F8A88B}"/>
            </c:ext>
          </c:extLst>
        </c:ser>
        <c:ser>
          <c:idx val="2"/>
          <c:order val="2"/>
          <c:tx>
            <c:strRef>
              <c:f>'Comparison of banks'!$P$4</c:f>
              <c:strCache>
                <c:ptCount val="1"/>
                <c:pt idx="0">
                  <c:v>Правекс Банк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banks'!$B$14:$B$16)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banks'!$Q$6:$Q$8,'Comparison of banks'!$Q$14:$Q$16)</c:f>
              <c:numCache>
                <c:formatCode>#,##0</c:formatCode>
                <c:ptCount val="6"/>
                <c:pt idx="0">
                  <c:v>1562</c:v>
                </c:pt>
                <c:pt idx="1">
                  <c:v>1494</c:v>
                </c:pt>
                <c:pt idx="2">
                  <c:v>1494</c:v>
                </c:pt>
                <c:pt idx="3">
                  <c:v>1030</c:v>
                </c:pt>
                <c:pt idx="4">
                  <c:v>377</c:v>
                </c:pt>
                <c:pt idx="5">
                  <c:v>-78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C1-433F-93B3-7A68D2F8A88B}"/>
            </c:ext>
          </c:extLst>
        </c:ser>
        <c:ser>
          <c:idx val="3"/>
          <c:order val="3"/>
          <c:tx>
            <c:strRef>
              <c:f>'Comparison of banks'!$V$4</c:f>
              <c:strCache>
                <c:ptCount val="1"/>
                <c:pt idx="0">
                  <c:v>ПУМБ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banks'!$B$14:$B$16)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banks'!$W$6:$W$8,'Comparison of banks'!$W$14:$W$16)</c:f>
              <c:numCache>
                <c:formatCode>#,##0</c:formatCode>
                <c:ptCount val="6"/>
                <c:pt idx="0">
                  <c:v>16997</c:v>
                </c:pt>
                <c:pt idx="1">
                  <c:v>16376</c:v>
                </c:pt>
                <c:pt idx="2">
                  <c:v>16376</c:v>
                </c:pt>
                <c:pt idx="3">
                  <c:v>17541</c:v>
                </c:pt>
                <c:pt idx="4">
                  <c:v>17093</c:v>
                </c:pt>
                <c:pt idx="5">
                  <c:v>18666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C1-433F-93B3-7A68D2F8A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80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12700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1.0124815446820256E-3"/>
          <c:y val="0.75167763063943183"/>
          <c:w val="0.99898751292452082"/>
          <c:h val="0.235991814270519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10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97749179112382"/>
          <c:y val="4.2882302405498285E-2"/>
          <c:w val="0.87221110051901296"/>
          <c:h val="0.642187857961053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'Comparison of banks'!$D$4</c:f>
              <c:strCache>
                <c:ptCount val="1"/>
                <c:pt idx="0">
                  <c:v>Укргазбанк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banks'!$B$14:$B$16)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banks'!$G$6:$G$8,'Comparison of banks'!$G$14:$G$16)</c:f>
              <c:numCache>
                <c:formatCode>0.0%</c:formatCode>
                <c:ptCount val="6"/>
                <c:pt idx="0">
                  <c:v>0.16370000000000001</c:v>
                </c:pt>
                <c:pt idx="1">
                  <c:v>0.1477</c:v>
                </c:pt>
                <c:pt idx="2">
                  <c:v>0.1477</c:v>
                </c:pt>
                <c:pt idx="3">
                  <c:v>0.1467</c:v>
                </c:pt>
                <c:pt idx="4">
                  <c:v>0.1328</c:v>
                </c:pt>
                <c:pt idx="5">
                  <c:v>0.1497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1-4143-B1E8-94EA0E462D2C}"/>
            </c:ext>
          </c:extLst>
        </c:ser>
        <c:ser>
          <c:idx val="1"/>
          <c:order val="1"/>
          <c:tx>
            <c:strRef>
              <c:f>'Comparison of banks'!$J$4</c:f>
              <c:strCache>
                <c:ptCount val="1"/>
                <c:pt idx="0">
                  <c:v>Креді Агріколь Банк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banks'!$B$14:$B$16)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banks'!$M$6:$M$8,'Comparison of banks'!$M$14:$M$16)</c:f>
              <c:numCache>
                <c:formatCode>0.0%</c:formatCode>
                <c:ptCount val="6"/>
                <c:pt idx="0">
                  <c:v>0.1978</c:v>
                </c:pt>
                <c:pt idx="1">
                  <c:v>0.19850000000000001</c:v>
                </c:pt>
                <c:pt idx="2">
                  <c:v>0.19850000000000001</c:v>
                </c:pt>
                <c:pt idx="3">
                  <c:v>0.35060000000000002</c:v>
                </c:pt>
                <c:pt idx="4">
                  <c:v>0.39119999999999999</c:v>
                </c:pt>
                <c:pt idx="5">
                  <c:v>0.45979999999999999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F1-4143-B1E8-94EA0E462D2C}"/>
            </c:ext>
          </c:extLst>
        </c:ser>
        <c:ser>
          <c:idx val="2"/>
          <c:order val="2"/>
          <c:tx>
            <c:strRef>
              <c:f>'Comparison of banks'!$P$4</c:f>
              <c:strCache>
                <c:ptCount val="1"/>
                <c:pt idx="0">
                  <c:v>Правекс Банк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banks'!$B$14:$B$16)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banks'!$S$6:$S$8,'Comparison of banks'!$S$14:$S$16)</c:f>
              <c:numCache>
                <c:formatCode>0.0%</c:formatCode>
                <c:ptCount val="6"/>
                <c:pt idx="0">
                  <c:v>0.38769999999999999</c:v>
                </c:pt>
                <c:pt idx="1">
                  <c:v>0.3674</c:v>
                </c:pt>
                <c:pt idx="2">
                  <c:v>0.36730000000000002</c:v>
                </c:pt>
                <c:pt idx="3">
                  <c:v>0.25459999999999999</c:v>
                </c:pt>
                <c:pt idx="4">
                  <c:v>9.5000000000000001E-2</c:v>
                </c:pt>
                <c:pt idx="5">
                  <c:v>-2.01E-2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F1-4143-B1E8-94EA0E462D2C}"/>
            </c:ext>
          </c:extLst>
        </c:ser>
        <c:ser>
          <c:idx val="3"/>
          <c:order val="3"/>
          <c:tx>
            <c:strRef>
              <c:f>'Comparison of banks'!$V$4</c:f>
              <c:strCache>
                <c:ptCount val="1"/>
                <c:pt idx="0">
                  <c:v>ПУМБ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banks'!$B$14:$B$16)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banks'!$Y$6:$Y$8,'Comparison of banks'!$Y$14:$Y$16)</c:f>
              <c:numCache>
                <c:formatCode>0.0%</c:formatCode>
                <c:ptCount val="6"/>
                <c:pt idx="0">
                  <c:v>0.16270000000000001</c:v>
                </c:pt>
                <c:pt idx="1">
                  <c:v>0.15670000000000001</c:v>
                </c:pt>
                <c:pt idx="2">
                  <c:v>0.15670000000000001</c:v>
                </c:pt>
                <c:pt idx="3">
                  <c:v>0.16500000000000001</c:v>
                </c:pt>
                <c:pt idx="4">
                  <c:v>0.15939999999999999</c:v>
                </c:pt>
                <c:pt idx="5">
                  <c:v>0.17549999999999999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1-4143-B1E8-94EA0E462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80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12700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1.9422572178477691E-3"/>
          <c:y val="0.75167788930059953"/>
          <c:w val="0.9980577427821522"/>
          <c:h val="0.23599189547809521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10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97749179112382"/>
          <c:y val="4.2882302405498285E-2"/>
          <c:w val="0.86712424531299648"/>
          <c:h val="0.642187857961053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'Comparison of banks'!$D$4</c:f>
              <c:strCache>
                <c:ptCount val="1"/>
                <c:pt idx="0">
                  <c:v>Укргазбанк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banks'!$B$14:$B$16)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banks'!$F$6:$F$8,'Comparison of banks'!$F$14:$F$16)</c:f>
              <c:numCache>
                <c:formatCode>0.0%</c:formatCode>
                <c:ptCount val="6"/>
                <c:pt idx="0">
                  <c:v>0.16370000000000001</c:v>
                </c:pt>
                <c:pt idx="1">
                  <c:v>0.1477</c:v>
                </c:pt>
                <c:pt idx="2">
                  <c:v>0.1477</c:v>
                </c:pt>
                <c:pt idx="3">
                  <c:v>0.1467</c:v>
                </c:pt>
                <c:pt idx="4">
                  <c:v>0.1328</c:v>
                </c:pt>
                <c:pt idx="5">
                  <c:v>0.1497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1C-440F-BF25-C17D5C60F1AA}"/>
            </c:ext>
          </c:extLst>
        </c:ser>
        <c:ser>
          <c:idx val="1"/>
          <c:order val="1"/>
          <c:tx>
            <c:strRef>
              <c:f>'Comparison of banks'!$J$4</c:f>
              <c:strCache>
                <c:ptCount val="1"/>
                <c:pt idx="0">
                  <c:v>Креді Агріколь Банк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banks'!$B$14:$B$16)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banks'!$L$6:$L$8,'Comparison of banks'!$L$14:$L$16)</c:f>
              <c:numCache>
                <c:formatCode>0.0%</c:formatCode>
                <c:ptCount val="6"/>
                <c:pt idx="0">
                  <c:v>0.2014</c:v>
                </c:pt>
                <c:pt idx="1">
                  <c:v>0.2021</c:v>
                </c:pt>
                <c:pt idx="2">
                  <c:v>0.2021</c:v>
                </c:pt>
                <c:pt idx="3">
                  <c:v>0.35220000000000001</c:v>
                </c:pt>
                <c:pt idx="4">
                  <c:v>0.39119999999999999</c:v>
                </c:pt>
                <c:pt idx="5">
                  <c:v>0.45979999999999999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1C-440F-BF25-C17D5C60F1AA}"/>
            </c:ext>
          </c:extLst>
        </c:ser>
        <c:ser>
          <c:idx val="2"/>
          <c:order val="2"/>
          <c:tx>
            <c:strRef>
              <c:f>'Comparison of banks'!$P$4</c:f>
              <c:strCache>
                <c:ptCount val="1"/>
                <c:pt idx="0">
                  <c:v>Правекс Банк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banks'!$B$14:$B$16)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banks'!$R$6:$R$8,'Comparison of banks'!$R$14:$R$16)</c:f>
              <c:numCache>
                <c:formatCode>0.0%</c:formatCode>
                <c:ptCount val="6"/>
                <c:pt idx="0">
                  <c:v>0.38800000000000001</c:v>
                </c:pt>
                <c:pt idx="1">
                  <c:v>0.36780000000000002</c:v>
                </c:pt>
                <c:pt idx="2">
                  <c:v>0.36770000000000003</c:v>
                </c:pt>
                <c:pt idx="3">
                  <c:v>0.255</c:v>
                </c:pt>
                <c:pt idx="4">
                  <c:v>9.5399999999999999E-2</c:v>
                </c:pt>
                <c:pt idx="5">
                  <c:v>-1.9699999999999999E-2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1C-440F-BF25-C17D5C60F1AA}"/>
            </c:ext>
          </c:extLst>
        </c:ser>
        <c:ser>
          <c:idx val="3"/>
          <c:order val="3"/>
          <c:tx>
            <c:strRef>
              <c:f>'Comparison of banks'!$V$4</c:f>
              <c:strCache>
                <c:ptCount val="1"/>
                <c:pt idx="0">
                  <c:v>ПУМБ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of banks'!$B$6:$B$8,'Comparison of banks'!$B$14:$B$16)</c:f>
              <c:strCache>
                <c:ptCount val="6"/>
                <c:pt idx="0">
                  <c:v>Дані банку на 1 січня</c:v>
                </c:pt>
                <c:pt idx="1">
                  <c:v>Скориговані дані банку</c:v>
                </c:pt>
                <c:pt idx="2">
                  <c:v>AQR на 01 січня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('Comparison of banks'!$X$6:$X$8,'Comparison of banks'!$X$14:$X$16)</c:f>
              <c:numCache>
                <c:formatCode>0.0%</c:formatCode>
                <c:ptCount val="6"/>
                <c:pt idx="0">
                  <c:v>0.16270000000000001</c:v>
                </c:pt>
                <c:pt idx="1">
                  <c:v>0.15670000000000001</c:v>
                </c:pt>
                <c:pt idx="2">
                  <c:v>0.15670000000000001</c:v>
                </c:pt>
                <c:pt idx="3">
                  <c:v>0.16500000000000001</c:v>
                </c:pt>
                <c:pt idx="4">
                  <c:v>0.15939999999999999</c:v>
                </c:pt>
                <c:pt idx="5">
                  <c:v>0.17549999999999999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1C-440F-BF25-C17D5C60F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80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12700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1.9592247938704627E-3"/>
          <c:y val="0.75167788930059953"/>
          <c:w val="0.99804077520612955"/>
          <c:h val="0.23599189547809521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10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0425310671041"/>
          <c:y val="4.4691456519476917E-2"/>
          <c:w val="0.85585565302440225"/>
          <c:h val="0.59460116739777624"/>
        </c:manualLayout>
      </c:layout>
      <c:lineChart>
        <c:grouping val="standard"/>
        <c:varyColors val="0"/>
        <c:ser>
          <c:idx val="0"/>
          <c:order val="0"/>
          <c:tx>
            <c:strRef>
              <c:f>'Individual banks'!$F$4:$H$4</c:f>
              <c:strCache>
                <c:ptCount val="3"/>
                <c:pt idx="0">
                  <c:v>За базовим макроекономічним сценарієм</c:v>
                </c:pt>
              </c:strCache>
            </c:strRef>
          </c:tx>
          <c:spPr>
            <a:ln w="31750" cmpd="sng">
              <a:solidFill>
                <a:srgbClr val="057D4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2EF7E97B-34CC-4206-B21B-43E3D66DA552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090-4D08-B148-D16D3B9671E4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3C3E4884-D88A-4937-93C0-992494E4ADBA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3090-4D08-B148-D16D3B9671E4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591CA008-6646-4B9F-A29E-EFEF11128CC6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3090-4D08-B148-D16D3B9671E4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6C1D1E13-10D9-4652-9E34-32C3BB165B37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3090-4D08-B148-D16D3B9671E4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68A305D8-EF88-4B8D-BFB8-06C68EBFBC44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3090-4D08-B148-D16D3B9671E4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0FE37F0E-5FEA-4D57-92A7-9553CCACFD66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3090-4D08-B148-D16D3B9671E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('Individual banks'!$C$4:$C$6,'Individual banks'!$D$4:$D$6,'Individual banks'!$E$4:$E$6,'Individual banks'!$F$5:$H$5)</c:f>
              <c:strCache>
                <c:ptCount val="6"/>
                <c:pt idx="0">
                  <c:v>Дані банку на 01.01.25</c:v>
                </c:pt>
                <c:pt idx="1">
                  <c:v>Скориговані дані банку</c:v>
                </c:pt>
                <c:pt idx="2">
                  <c:v>AQR на 01.01.25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'Individual banks'!$C$10:$H$10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'Individual banks'!$C$10:$H$10</c15:f>
                <c15:dlblRangeCache>
                  <c:ptCount val="6"/>
                </c15:dlblRangeCache>
              </c15:datalabelsRange>
            </c:ext>
            <c:ext xmlns:c16="http://schemas.microsoft.com/office/drawing/2014/chart" uri="{C3380CC4-5D6E-409C-BE32-E72D297353CC}">
              <c16:uniqueId val="{00000000-15D3-4B0E-BF05-83DB4872B167}"/>
            </c:ext>
          </c:extLst>
        </c:ser>
        <c:ser>
          <c:idx val="1"/>
          <c:order val="1"/>
          <c:tx>
            <c:strRef>
              <c:f>'Individual banks'!$I$4:$K$4</c:f>
              <c:strCache>
                <c:ptCount val="3"/>
                <c:pt idx="0">
                  <c:v>За несприятливим макроекономічним сценарієм</c:v>
                </c:pt>
              </c:strCache>
            </c:strRef>
          </c:tx>
          <c:spPr>
            <a:ln w="31750" cmpd="sng">
              <a:solidFill>
                <a:srgbClr val="91C864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51-499B-941F-C0380FB2840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51-499B-941F-C0380FB2840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51-499B-941F-C0380FB2840B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DCAC199-BA16-4C64-894E-E97BB11E3780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090-4D08-B148-D16D3B9671E4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26B15835-0E45-4C61-99D7-B52B983A821E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3090-4D08-B148-D16D3B9671E4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001A5983-9623-49AF-B6B5-EC0E7538DE9D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090-4D08-B148-D16D3B9671E4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('Individual banks'!$C$4:$C$6,'Individual banks'!$D$4:$D$6,'Individual banks'!$E$4:$E$6,'Individual banks'!$F$5:$H$5)</c:f>
              <c:strCache>
                <c:ptCount val="6"/>
                <c:pt idx="0">
                  <c:v>Дані банку на 01.01.25</c:v>
                </c:pt>
                <c:pt idx="1">
                  <c:v>Скориговані дані банку</c:v>
                </c:pt>
                <c:pt idx="2">
                  <c:v>AQR на 01.01.25</c:v>
                </c:pt>
                <c:pt idx="3">
                  <c:v>1-й рік</c:v>
                </c:pt>
                <c:pt idx="4">
                  <c:v>2-й рік</c:v>
                </c:pt>
                <c:pt idx="5">
                  <c:v>3-й рік</c:v>
                </c:pt>
              </c:strCache>
            </c:strRef>
          </c:cat>
          <c:val>
            <c:numRef>
              <c:f>('Individual banks'!$C$10:$E$10,'Individual banks'!$I$10:$K$10)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('Individual banks'!$C$10:$E$10,'Individual banks'!$I$10,'Individual banks'!$J$10,'Individual banks'!$K$10)</c15:f>
                <c15:dlblRangeCache>
                  <c:ptCount val="6"/>
                </c15:dlblRangeCache>
              </c15:datalabelsRange>
            </c:ext>
            <c:ext xmlns:c16="http://schemas.microsoft.com/office/drawing/2014/chart" uri="{C3380CC4-5D6E-409C-BE32-E72D297353CC}">
              <c16:uniqueId val="{00000001-15D3-4B0E-BF05-83DB4872B167}"/>
            </c:ext>
          </c:extLst>
        </c:ser>
        <c:ser>
          <c:idx val="2"/>
          <c:order val="2"/>
          <c:tx>
            <c:strRef>
              <c:f>'Individual banks'!$B$14</c:f>
              <c:strCache>
                <c:ptCount val="1"/>
                <c:pt idx="0">
                  <c:v>Граничне значення НРК</c:v>
                </c:pt>
              </c:strCache>
            </c:strRef>
          </c:tx>
          <c:spPr>
            <a:ln w="25400">
              <a:solidFill>
                <a:schemeClr val="accent4"/>
              </a:solidFill>
              <a:prstDash val="dash"/>
            </a:ln>
          </c:spPr>
          <c:marker>
            <c:symbol val="none"/>
          </c:marker>
          <c:dLbls>
            <c:dLbl>
              <c:idx val="5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E51-499B-941F-C0380FB284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4"/>
                    </a:solidFill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'Individual banks'!$C$14:$H$14</c:f>
              <c:numCache>
                <c:formatCode>0.0%</c:formatCode>
                <c:ptCount val="6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51-499B-941F-C0380FB28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803832"/>
        <c:axId val="409802192"/>
      </c:lineChart>
      <c:catAx>
        <c:axId val="40980383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tickLblSkip val="1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80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12700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2.6935993440487398E-2"/>
          <c:y val="0.77146210033099483"/>
          <c:w val="0.62056429313139527"/>
          <c:h val="0.2021225105335826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000"/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303611564145625E-2"/>
          <c:y val="4.3855611679191817E-2"/>
          <c:w val="0.86134933574879224"/>
          <c:h val="0.509563631883700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'Comparison with 2021'!$B$44</c:f>
              <c:strCache>
                <c:ptCount val="1"/>
                <c:pt idx="0">
                  <c:v>За базовим макроекономічним сценарієм (стрес-тестування 2025 року)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with 2021'!$B$7:$B$8,'Comparison with 2021'!$B$10:$B$12)</c:f>
              <c:strCache>
                <c:ptCount val="5"/>
                <c:pt idx="0">
                  <c:v>Cкориговані дані банку </c:v>
                </c:pt>
                <c:pt idx="1">
                  <c:v>AQR на 01 січня</c:v>
                </c:pt>
                <c:pt idx="2">
                  <c:v>1-й рік</c:v>
                </c:pt>
                <c:pt idx="3">
                  <c:v>2-й рік</c:v>
                </c:pt>
                <c:pt idx="4">
                  <c:v>3-й рік</c:v>
                </c:pt>
              </c:strCache>
            </c:strRef>
          </c:cat>
          <c:val>
            <c:numRef>
              <c:f>('Comparison with 2021'!$D$7:$D$8,'Comparison with 2021'!$D$10:$D$12)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3B-4F5F-855D-A0D72F0949FA}"/>
            </c:ext>
          </c:extLst>
        </c:ser>
        <c:ser>
          <c:idx val="1"/>
          <c:order val="1"/>
          <c:tx>
            <c:strRef>
              <c:f>'Comparison with 2021'!$B$46</c:f>
              <c:strCache>
                <c:ptCount val="1"/>
                <c:pt idx="0">
                  <c:v>За базовим макроекономічним сценарієм (стрес-тестування 2021 року)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with 2021'!$B$7:$B$8,'Comparison with 2021'!$B$10:$B$12)</c:f>
              <c:strCache>
                <c:ptCount val="5"/>
                <c:pt idx="0">
                  <c:v>Cкориговані дані банку </c:v>
                </c:pt>
                <c:pt idx="1">
                  <c:v>AQR на 01 січня</c:v>
                </c:pt>
                <c:pt idx="2">
                  <c:v>1-й рік</c:v>
                </c:pt>
                <c:pt idx="3">
                  <c:v>2-й рік</c:v>
                </c:pt>
                <c:pt idx="4">
                  <c:v>3-й рік</c:v>
                </c:pt>
              </c:strCache>
            </c:strRef>
          </c:cat>
          <c:val>
            <c:numRef>
              <c:f>('Comparison with 2021'!$I$7:$I$8,'Comparison with 2021'!$I$10:$I$12)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3B-4F5F-855D-A0D72F0949FA}"/>
            </c:ext>
          </c:extLst>
        </c:ser>
        <c:ser>
          <c:idx val="2"/>
          <c:order val="2"/>
          <c:tx>
            <c:strRef>
              <c:f>'Comparison with 2021'!$B$45</c:f>
              <c:strCache>
                <c:ptCount val="1"/>
                <c:pt idx="0">
                  <c:v>За несприятливим макроекономічним сценарієм (стрес-тестування 2025 року)</c:v>
                </c:pt>
              </c:strCache>
            </c:strRef>
          </c:tx>
          <c:spPr>
            <a:solidFill>
              <a:srgbClr val="7D0532"/>
            </a:solidFill>
          </c:spPr>
          <c:invertIfNegative val="0"/>
          <c:cat>
            <c:strRef>
              <c:f>('Comparison with 2021'!$B$7:$B$8,'Comparison with 2021'!$B$10:$B$12)</c:f>
              <c:strCache>
                <c:ptCount val="5"/>
                <c:pt idx="0">
                  <c:v>Cкориговані дані банку </c:v>
                </c:pt>
                <c:pt idx="1">
                  <c:v>AQR на 01 січня</c:v>
                </c:pt>
                <c:pt idx="2">
                  <c:v>1-й рік</c:v>
                </c:pt>
                <c:pt idx="3">
                  <c:v>2-й рік</c:v>
                </c:pt>
                <c:pt idx="4">
                  <c:v>3-й рік</c:v>
                </c:pt>
              </c:strCache>
            </c:strRef>
          </c:cat>
          <c:val>
            <c:numRef>
              <c:f>('Comparison with 2021'!$D$7:$D$8,'Comparison with 2021'!$D$14:$D$16)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3B-4F5F-855D-A0D72F0949FA}"/>
            </c:ext>
          </c:extLst>
        </c:ser>
        <c:ser>
          <c:idx val="3"/>
          <c:order val="3"/>
          <c:tx>
            <c:strRef>
              <c:f>'Comparison with 2021'!$B$47</c:f>
              <c:strCache>
                <c:ptCount val="1"/>
                <c:pt idx="0">
                  <c:v>За несприятливим макроекономічним сценарієм (стрес-тестування 2021 року)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with 2021'!$B$7:$B$8,'Comparison with 2021'!$B$10:$B$12)</c:f>
              <c:strCache>
                <c:ptCount val="5"/>
                <c:pt idx="0">
                  <c:v>Cкориговані дані банку </c:v>
                </c:pt>
                <c:pt idx="1">
                  <c:v>AQR на 01 січня</c:v>
                </c:pt>
                <c:pt idx="2">
                  <c:v>1-й рік</c:v>
                </c:pt>
                <c:pt idx="3">
                  <c:v>2-й рік</c:v>
                </c:pt>
                <c:pt idx="4">
                  <c:v>3-й рік</c:v>
                </c:pt>
              </c:strCache>
            </c:strRef>
          </c:cat>
          <c:val>
            <c:numRef>
              <c:f>('Comparison with 2021'!$I$7:$I$8,'Comparison with 2021'!$I$14:$I$16)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3B-4F5F-855D-A0D72F094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3175" cap="flat" cmpd="sng" algn="ctr">
            <a:solidFill>
              <a:srgbClr val="8C969B">
                <a:alpha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1.2265199646227375E-2"/>
          <c:y val="0.6630535090961357"/>
          <c:w val="0.97121394318541421"/>
          <c:h val="0.3050956428894091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283431894664622E-2"/>
          <c:y val="4.5111566694579178E-2"/>
          <c:w val="0.87152154735844745"/>
          <c:h val="0.52843799081542187"/>
        </c:manualLayout>
      </c:layout>
      <c:lineChart>
        <c:grouping val="standard"/>
        <c:varyColors val="0"/>
        <c:ser>
          <c:idx val="0"/>
          <c:order val="0"/>
          <c:tx>
            <c:strRef>
              <c:f>'Comparison with 2021'!$B$44</c:f>
              <c:strCache>
                <c:ptCount val="1"/>
                <c:pt idx="0">
                  <c:v>За базовим макроекономічним сценарієм (стрес-тестування 2025 року)</c:v>
                </c:pt>
              </c:strCache>
            </c:strRef>
          </c:tx>
          <c:spPr>
            <a:ln w="25400" cmpd="sng">
              <a:solidFill>
                <a:srgbClr val="057D46"/>
              </a:solidFill>
              <a:prstDash val="solid"/>
            </a:ln>
          </c:spPr>
          <c:marker>
            <c:symbol val="none"/>
          </c:marker>
          <c:cat>
            <c:strRef>
              <c:f>('Comparison with 2021'!$B$7:$B$8,'Comparison with 2021'!$B$10:$B$12)</c:f>
              <c:strCache>
                <c:ptCount val="5"/>
                <c:pt idx="0">
                  <c:v>Cкориговані дані банку </c:v>
                </c:pt>
                <c:pt idx="1">
                  <c:v>AQR на 01 січня</c:v>
                </c:pt>
                <c:pt idx="2">
                  <c:v>1-й рік</c:v>
                </c:pt>
                <c:pt idx="3">
                  <c:v>2-й рік</c:v>
                </c:pt>
                <c:pt idx="4">
                  <c:v>3-й рік</c:v>
                </c:pt>
              </c:strCache>
            </c:strRef>
          </c:cat>
          <c:val>
            <c:numRef>
              <c:f>('Comparison with 2021'!$G$7:$G$8,'Comparison with 2021'!$G$10:$G$12)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3-479C-B949-114A28FE797B}"/>
            </c:ext>
          </c:extLst>
        </c:ser>
        <c:ser>
          <c:idx val="2"/>
          <c:order val="1"/>
          <c:tx>
            <c:strRef>
              <c:f>'Comparison with 2021'!$B$46</c:f>
              <c:strCache>
                <c:ptCount val="1"/>
                <c:pt idx="0">
                  <c:v>За базовим макроекономічним сценарієм (стрес-тестування 2021 року)</c:v>
                </c:pt>
              </c:strCache>
            </c:strRef>
          </c:tx>
          <c:spPr>
            <a:ln>
              <a:solidFill>
                <a:srgbClr val="91C864"/>
              </a:solidFill>
              <a:prstDash val="dash"/>
            </a:ln>
          </c:spPr>
          <c:marker>
            <c:symbol val="none"/>
          </c:marker>
          <c:cat>
            <c:strRef>
              <c:f>('Comparison with 2021'!$B$7:$B$8,'Comparison with 2021'!$B$10:$B$12)</c:f>
              <c:strCache>
                <c:ptCount val="5"/>
                <c:pt idx="0">
                  <c:v>Cкориговані дані банку </c:v>
                </c:pt>
                <c:pt idx="1">
                  <c:v>AQR на 01 січня</c:v>
                </c:pt>
                <c:pt idx="2">
                  <c:v>1-й рік</c:v>
                </c:pt>
                <c:pt idx="3">
                  <c:v>2-й рік</c:v>
                </c:pt>
                <c:pt idx="4">
                  <c:v>3-й рік</c:v>
                </c:pt>
              </c:strCache>
            </c:strRef>
          </c:cat>
          <c:val>
            <c:numRef>
              <c:f>('Comparison with 2021'!$L$7:$L$8,'Comparison with 2021'!$L$10:$L$12)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93-479C-B949-114A28FE797B}"/>
            </c:ext>
          </c:extLst>
        </c:ser>
        <c:ser>
          <c:idx val="1"/>
          <c:order val="2"/>
          <c:tx>
            <c:strRef>
              <c:f>'Comparison with 2021'!$B$45</c:f>
              <c:strCache>
                <c:ptCount val="1"/>
                <c:pt idx="0">
                  <c:v>За несприятливим макроекономічним сценарієм (стрес-тестування 2025 року)</c:v>
                </c:pt>
              </c:strCache>
            </c:strRef>
          </c:tx>
          <c:spPr>
            <a:ln w="25400" cmpd="sng">
              <a:solidFill>
                <a:srgbClr val="7D0532"/>
              </a:solidFill>
              <a:prstDash val="solid"/>
            </a:ln>
          </c:spPr>
          <c:marker>
            <c:symbol val="none"/>
          </c:marker>
          <c:cat>
            <c:strRef>
              <c:f>('Comparison with 2021'!$B$7:$B$8,'Comparison with 2021'!$B$10:$B$12)</c:f>
              <c:strCache>
                <c:ptCount val="5"/>
                <c:pt idx="0">
                  <c:v>Cкориговані дані банку </c:v>
                </c:pt>
                <c:pt idx="1">
                  <c:v>AQR на 01 січня</c:v>
                </c:pt>
                <c:pt idx="2">
                  <c:v>1-й рік</c:v>
                </c:pt>
                <c:pt idx="3">
                  <c:v>2-й рік</c:v>
                </c:pt>
                <c:pt idx="4">
                  <c:v>3-й рік</c:v>
                </c:pt>
              </c:strCache>
            </c:strRef>
          </c:cat>
          <c:val>
            <c:numRef>
              <c:f>('Comparison with 2021'!$G$7:$G$8,'Comparison with 2021'!$G$14:$G$16)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3-479C-B949-114A28FE797B}"/>
            </c:ext>
          </c:extLst>
        </c:ser>
        <c:ser>
          <c:idx val="3"/>
          <c:order val="3"/>
          <c:tx>
            <c:strRef>
              <c:f>'Comparison with 2021'!$B$47</c:f>
              <c:strCache>
                <c:ptCount val="1"/>
                <c:pt idx="0">
                  <c:v>За несприятливим макроекономічним сценарієм (стрес-тестування 2021 року)</c:v>
                </c:pt>
              </c:strCache>
            </c:strRef>
          </c:tx>
          <c:spPr>
            <a:ln w="25400" cmpd="sng">
              <a:solidFill>
                <a:srgbClr val="DC4B64"/>
              </a:solidFill>
              <a:prstDash val="dash"/>
            </a:ln>
          </c:spPr>
          <c:marker>
            <c:symbol val="none"/>
          </c:marker>
          <c:cat>
            <c:strRef>
              <c:f>('Comparison with 2021'!$B$7:$B$8,'Comparison with 2021'!$B$10:$B$12)</c:f>
              <c:strCache>
                <c:ptCount val="5"/>
                <c:pt idx="0">
                  <c:v>Cкориговані дані банку </c:v>
                </c:pt>
                <c:pt idx="1">
                  <c:v>AQR на 01 січня</c:v>
                </c:pt>
                <c:pt idx="2">
                  <c:v>1-й рік</c:v>
                </c:pt>
                <c:pt idx="3">
                  <c:v>2-й рік</c:v>
                </c:pt>
                <c:pt idx="4">
                  <c:v>3-й рік</c:v>
                </c:pt>
              </c:strCache>
            </c:strRef>
          </c:cat>
          <c:val>
            <c:numRef>
              <c:f>('Comparison with 2021'!$L$7:$L$8,'Comparison with 2021'!$L$14:$L$16)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93-479C-B949-114A28FE7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803832"/>
        <c:axId val="409802192"/>
      </c:lineChart>
      <c:catAx>
        <c:axId val="40980383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3.3195020746887967E-2"/>
          <c:y val="0.67013517866096417"/>
          <c:w val="0.9511477356362994"/>
          <c:h val="0.30543869144665409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3344701561397"/>
          <c:y val="4.3531840516659634E-2"/>
          <c:w val="0.85106349206349208"/>
          <c:h val="0.539987847222222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'Comparison with 2021'!$B$44</c:f>
              <c:strCache>
                <c:ptCount val="1"/>
                <c:pt idx="0">
                  <c:v>За базовим макроекономічним сценарієм (стрес-тестування 2025 року)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with 2021'!$B$7:$B$8,'Comparison with 2021'!$B$10:$B$12)</c:f>
              <c:strCache>
                <c:ptCount val="5"/>
                <c:pt idx="0">
                  <c:v>Cкориговані дані банку </c:v>
                </c:pt>
                <c:pt idx="1">
                  <c:v>AQR на 01 січня</c:v>
                </c:pt>
                <c:pt idx="2">
                  <c:v>1-й рік</c:v>
                </c:pt>
                <c:pt idx="3">
                  <c:v>2-й рік</c:v>
                </c:pt>
                <c:pt idx="4">
                  <c:v>3-й рік</c:v>
                </c:pt>
              </c:strCache>
            </c:strRef>
          </c:cat>
          <c:val>
            <c:numRef>
              <c:f>('Comparison with 2021'!$E$7:$E$8,'Comparison with 2021'!$E$10:$E$12)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4-4964-B38B-FF0C02D2F1D7}"/>
            </c:ext>
          </c:extLst>
        </c:ser>
        <c:ser>
          <c:idx val="1"/>
          <c:order val="1"/>
          <c:tx>
            <c:strRef>
              <c:f>'Comparison with 2021'!$B$46</c:f>
              <c:strCache>
                <c:ptCount val="1"/>
                <c:pt idx="0">
                  <c:v>За базовим макроекономічним сценарієм (стрес-тестування 2021 року)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with 2021'!$B$7:$B$8,'Comparison with 2021'!$B$10:$B$12)</c:f>
              <c:strCache>
                <c:ptCount val="5"/>
                <c:pt idx="0">
                  <c:v>Cкориговані дані банку </c:v>
                </c:pt>
                <c:pt idx="1">
                  <c:v>AQR на 01 січня</c:v>
                </c:pt>
                <c:pt idx="2">
                  <c:v>1-й рік</c:v>
                </c:pt>
                <c:pt idx="3">
                  <c:v>2-й рік</c:v>
                </c:pt>
                <c:pt idx="4">
                  <c:v>3-й рік</c:v>
                </c:pt>
              </c:strCache>
            </c:strRef>
          </c:cat>
          <c:val>
            <c:numRef>
              <c:f>('Comparison with 2021'!$J$7:$J$8,'Comparison with 2021'!$J$10:$J$12)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4-4964-B38B-FF0C02D2F1D7}"/>
            </c:ext>
          </c:extLst>
        </c:ser>
        <c:ser>
          <c:idx val="2"/>
          <c:order val="2"/>
          <c:tx>
            <c:strRef>
              <c:f>'Comparison with 2021'!$B$45</c:f>
              <c:strCache>
                <c:ptCount val="1"/>
                <c:pt idx="0">
                  <c:v>За несприятливим макроекономічним сценарієм (стрес-тестування 2025 року)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with 2021'!$B$7:$B$8,'Comparison with 2021'!$B$10:$B$12)</c:f>
              <c:strCache>
                <c:ptCount val="5"/>
                <c:pt idx="0">
                  <c:v>Cкориговані дані банку </c:v>
                </c:pt>
                <c:pt idx="1">
                  <c:v>AQR на 01 січня</c:v>
                </c:pt>
                <c:pt idx="2">
                  <c:v>1-й рік</c:v>
                </c:pt>
                <c:pt idx="3">
                  <c:v>2-й рік</c:v>
                </c:pt>
                <c:pt idx="4">
                  <c:v>3-й рік</c:v>
                </c:pt>
              </c:strCache>
            </c:strRef>
          </c:cat>
          <c:val>
            <c:numRef>
              <c:f>('Comparison with 2021'!$E$7:$E$8,'Comparison with 2021'!$E$14:$E$16)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14-4964-B38B-FF0C02D2F1D7}"/>
            </c:ext>
          </c:extLst>
        </c:ser>
        <c:ser>
          <c:idx val="3"/>
          <c:order val="3"/>
          <c:tx>
            <c:strRef>
              <c:f>'Comparison with 2021'!$B$47</c:f>
              <c:strCache>
                <c:ptCount val="1"/>
                <c:pt idx="0">
                  <c:v>За несприятливим макроекономічним сценарієм (стрес-тестування 2021 року)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('Comparison with 2021'!$B$7:$B$8,'Comparison with 2021'!$B$10:$B$12)</c:f>
              <c:strCache>
                <c:ptCount val="5"/>
                <c:pt idx="0">
                  <c:v>Cкориговані дані банку </c:v>
                </c:pt>
                <c:pt idx="1">
                  <c:v>AQR на 01 січня</c:v>
                </c:pt>
                <c:pt idx="2">
                  <c:v>1-й рік</c:v>
                </c:pt>
                <c:pt idx="3">
                  <c:v>2-й рік</c:v>
                </c:pt>
                <c:pt idx="4">
                  <c:v>3-й рік</c:v>
                </c:pt>
              </c:strCache>
            </c:strRef>
          </c:cat>
          <c:val>
            <c:numRef>
              <c:f>('Comparison with 2021'!$J$7:$J$8,'Comparison with 2021'!$J$14:$J$16)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14-4964-B38B-FF0C02D2F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9803832"/>
        <c:axId val="409802192"/>
      </c:barChart>
      <c:catAx>
        <c:axId val="40980383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3175" cap="flat" cmpd="sng" algn="ctr">
            <a:solidFill>
              <a:srgbClr val="8C969B">
                <a:alpha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autoZero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68669583333333328"/>
          <c:w val="0.97215177098988459"/>
          <c:h val="0.29705795009320157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568758780671"/>
          <c:y val="4.4444957627320106E-2"/>
          <c:w val="0.86114810337504488"/>
          <c:h val="0.53581285632672082"/>
        </c:manualLayout>
      </c:layout>
      <c:lineChart>
        <c:grouping val="standard"/>
        <c:varyColors val="0"/>
        <c:ser>
          <c:idx val="0"/>
          <c:order val="0"/>
          <c:tx>
            <c:strRef>
              <c:f>'Comparison with 2021'!$B$44</c:f>
              <c:strCache>
                <c:ptCount val="1"/>
                <c:pt idx="0">
                  <c:v>За базовим макроекономічним сценарієм (стрес-тестування 2025 року)</c:v>
                </c:pt>
              </c:strCache>
            </c:strRef>
          </c:tx>
          <c:spPr>
            <a:ln w="25400" cmpd="sng">
              <a:solidFill>
                <a:srgbClr val="057D46"/>
              </a:solidFill>
              <a:prstDash val="solid"/>
            </a:ln>
          </c:spPr>
          <c:marker>
            <c:symbol val="none"/>
          </c:marker>
          <c:cat>
            <c:strRef>
              <c:f>('Comparison with 2021'!$B$7:$B$8,'Comparison with 2021'!$B$10:$B$12)</c:f>
              <c:strCache>
                <c:ptCount val="5"/>
                <c:pt idx="0">
                  <c:v>Cкориговані дані банку </c:v>
                </c:pt>
                <c:pt idx="1">
                  <c:v>AQR на 01 січня</c:v>
                </c:pt>
                <c:pt idx="2">
                  <c:v>1-й рік</c:v>
                </c:pt>
                <c:pt idx="3">
                  <c:v>2-й рік</c:v>
                </c:pt>
                <c:pt idx="4">
                  <c:v>3-й рік</c:v>
                </c:pt>
              </c:strCache>
            </c:strRef>
          </c:cat>
          <c:val>
            <c:numRef>
              <c:f>('Comparison with 2021'!$F$7:$F$8,'Comparison with 2021'!$F$10:$F$12)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5-4DD9-A12A-F20D87557252}"/>
            </c:ext>
          </c:extLst>
        </c:ser>
        <c:ser>
          <c:idx val="2"/>
          <c:order val="1"/>
          <c:tx>
            <c:strRef>
              <c:f>'Comparison with 2021'!$B$46</c:f>
              <c:strCache>
                <c:ptCount val="1"/>
                <c:pt idx="0">
                  <c:v>За базовим макроекономічним сценарієм (стрес-тестування 2021 року)</c:v>
                </c:pt>
              </c:strCache>
            </c:strRef>
          </c:tx>
          <c:spPr>
            <a:ln>
              <a:solidFill>
                <a:srgbClr val="91C864"/>
              </a:solidFill>
              <a:prstDash val="dash"/>
            </a:ln>
          </c:spPr>
          <c:marker>
            <c:symbol val="none"/>
          </c:marker>
          <c:cat>
            <c:strRef>
              <c:f>('Comparison with 2021'!$B$7:$B$8,'Comparison with 2021'!$B$10:$B$12)</c:f>
              <c:strCache>
                <c:ptCount val="5"/>
                <c:pt idx="0">
                  <c:v>Cкориговані дані банку </c:v>
                </c:pt>
                <c:pt idx="1">
                  <c:v>AQR на 01 січня</c:v>
                </c:pt>
                <c:pt idx="2">
                  <c:v>1-й рік</c:v>
                </c:pt>
                <c:pt idx="3">
                  <c:v>2-й рік</c:v>
                </c:pt>
                <c:pt idx="4">
                  <c:v>3-й рік</c:v>
                </c:pt>
              </c:strCache>
            </c:strRef>
          </c:cat>
          <c:val>
            <c:numRef>
              <c:f>('Comparison with 2021'!$K$7:$K$8,'Comparison with 2021'!$K$10:$K$12)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35-4DD9-A12A-F20D87557252}"/>
            </c:ext>
          </c:extLst>
        </c:ser>
        <c:ser>
          <c:idx val="1"/>
          <c:order val="2"/>
          <c:tx>
            <c:strRef>
              <c:f>'Comparison with 2021'!$B$45</c:f>
              <c:strCache>
                <c:ptCount val="1"/>
                <c:pt idx="0">
                  <c:v>За несприятливим макроекономічним сценарієм (стрес-тестування 2025 року)</c:v>
                </c:pt>
              </c:strCache>
            </c:strRef>
          </c:tx>
          <c:spPr>
            <a:ln w="25400" cmpd="sng">
              <a:solidFill>
                <a:srgbClr val="7D0532"/>
              </a:solidFill>
              <a:prstDash val="solid"/>
            </a:ln>
          </c:spPr>
          <c:marker>
            <c:symbol val="none"/>
          </c:marker>
          <c:cat>
            <c:strRef>
              <c:f>('Comparison with 2021'!$B$7:$B$8,'Comparison with 2021'!$B$10:$B$12)</c:f>
              <c:strCache>
                <c:ptCount val="5"/>
                <c:pt idx="0">
                  <c:v>Cкориговані дані банку </c:v>
                </c:pt>
                <c:pt idx="1">
                  <c:v>AQR на 01 січня</c:v>
                </c:pt>
                <c:pt idx="2">
                  <c:v>1-й рік</c:v>
                </c:pt>
                <c:pt idx="3">
                  <c:v>2-й рік</c:v>
                </c:pt>
                <c:pt idx="4">
                  <c:v>3-й рік</c:v>
                </c:pt>
              </c:strCache>
            </c:strRef>
          </c:cat>
          <c:val>
            <c:numRef>
              <c:f>('Comparison with 2021'!$F$7:$F$8,'Comparison with 2021'!$F$14:$F$16)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5-4DD9-A12A-F20D87557252}"/>
            </c:ext>
          </c:extLst>
        </c:ser>
        <c:ser>
          <c:idx val="3"/>
          <c:order val="3"/>
          <c:tx>
            <c:strRef>
              <c:f>'Comparison with 2021'!$B$47</c:f>
              <c:strCache>
                <c:ptCount val="1"/>
                <c:pt idx="0">
                  <c:v>За несприятливим макроекономічним сценарієм (стрес-тестування 2021 року)</c:v>
                </c:pt>
              </c:strCache>
            </c:strRef>
          </c:tx>
          <c:spPr>
            <a:ln w="25400" cmpd="sng">
              <a:solidFill>
                <a:srgbClr val="DC4B64"/>
              </a:solidFill>
              <a:prstDash val="dash"/>
            </a:ln>
          </c:spPr>
          <c:marker>
            <c:symbol val="none"/>
          </c:marker>
          <c:cat>
            <c:strRef>
              <c:f>('Comparison with 2021'!$B$7:$B$8,'Comparison with 2021'!$B$10:$B$12)</c:f>
              <c:strCache>
                <c:ptCount val="5"/>
                <c:pt idx="0">
                  <c:v>Cкориговані дані банку </c:v>
                </c:pt>
                <c:pt idx="1">
                  <c:v>AQR на 01 січня</c:v>
                </c:pt>
                <c:pt idx="2">
                  <c:v>1-й рік</c:v>
                </c:pt>
                <c:pt idx="3">
                  <c:v>2-й рік</c:v>
                </c:pt>
                <c:pt idx="4">
                  <c:v>3-й рік</c:v>
                </c:pt>
              </c:strCache>
            </c:strRef>
          </c:cat>
          <c:val>
            <c:numRef>
              <c:f>('Comparison with 2021'!$K$7:$K$8,'Comparison with 2021'!$K$14:$K$16)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35-4DD9-A12A-F20D87557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803832"/>
        <c:axId val="409802192"/>
      </c:lineChart>
      <c:catAx>
        <c:axId val="40980383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2192"/>
        <c:crosses val="min"/>
        <c:auto val="1"/>
        <c:lblAlgn val="ctr"/>
        <c:lblOffset val="100"/>
        <c:noMultiLvlLbl val="0"/>
      </c:catAx>
      <c:valAx>
        <c:axId val="4098021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40980383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1.5965671466135947E-2"/>
          <c:y val="0.66862951067954013"/>
          <c:w val="0.97158609724224665"/>
          <c:h val="0.30364472289143529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2.7188209308536403E-2"/>
          <c:w val="0.9666281204471362"/>
          <c:h val="0.897210907181701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rgbClr val="057D46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FE20-497D-AF8A-E8932A491210}"/>
              </c:ext>
            </c:extLst>
          </c:dPt>
          <c:dPt>
            <c:idx val="1"/>
            <c:invertIfNegative val="0"/>
            <c:bubble3D val="0"/>
            <c:spPr>
              <a:solidFill>
                <a:srgbClr val="91C86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A-4926-4632-A1D2-ADBEDD1052E1}"/>
              </c:ext>
            </c:extLst>
          </c:dPt>
          <c:dPt>
            <c:idx val="2"/>
            <c:invertIfNegative val="0"/>
            <c:bubble3D val="0"/>
            <c:spPr>
              <a:solidFill>
                <a:srgbClr val="7D053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FE20-497D-AF8A-E8932A491210}"/>
              </c:ext>
            </c:extLst>
          </c:dPt>
          <c:dPt>
            <c:idx val="3"/>
            <c:invertIfNegative val="0"/>
            <c:bubble3D val="0"/>
            <c:spPr>
              <a:solidFill>
                <a:srgbClr val="057D46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FE20-497D-AF8A-E8932A491210}"/>
              </c:ext>
            </c:extLst>
          </c:dPt>
          <c:dPt>
            <c:idx val="4"/>
            <c:invertIfNegative val="0"/>
            <c:bubble3D val="0"/>
            <c:spPr>
              <a:solidFill>
                <a:srgbClr val="91C86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4926-4632-A1D2-ADBEDD1052E1}"/>
              </c:ext>
            </c:extLst>
          </c:dPt>
          <c:dPt>
            <c:idx val="5"/>
            <c:invertIfNegative val="0"/>
            <c:bubble3D val="0"/>
            <c:spPr>
              <a:solidFill>
                <a:srgbClr val="7D053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4926-4632-A1D2-ADBEDD1052E1}"/>
              </c:ext>
            </c:extLst>
          </c:dPt>
          <c:dPt>
            <c:idx val="6"/>
            <c:invertIfNegative val="0"/>
            <c:bubble3D val="0"/>
            <c:spPr>
              <a:solidFill>
                <a:srgbClr val="057D46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4926-4632-A1D2-ADBEDD1052E1}"/>
              </c:ext>
            </c:extLst>
          </c:dPt>
          <c:dPt>
            <c:idx val="7"/>
            <c:invertIfNegative val="0"/>
            <c:bubble3D val="0"/>
            <c:spPr>
              <a:solidFill>
                <a:srgbClr val="91C86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C-4926-4632-A1D2-ADBEDD1052E1}"/>
              </c:ext>
            </c:extLst>
          </c:dPt>
          <c:dPt>
            <c:idx val="8"/>
            <c:invertIfNegative val="0"/>
            <c:bubble3D val="0"/>
            <c:spPr>
              <a:solidFill>
                <a:srgbClr val="7D053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4926-4632-A1D2-ADBEDD1052E1}"/>
              </c:ext>
            </c:extLst>
          </c:dPt>
          <c:cat>
            <c:multiLvlStrRef>
              <c:f>'Capital need'!$C$5:$D$13</c:f>
              <c:multiLvlStrCache>
                <c:ptCount val="9"/>
                <c:lvl>
                  <c:pt idx="0">
                    <c:v>НРК</c:v>
                  </c:pt>
                  <c:pt idx="1">
                    <c:v>НК1</c:v>
                  </c:pt>
                  <c:pt idx="2">
                    <c:v>НОК1</c:v>
                  </c:pt>
                  <c:pt idx="3">
                    <c:v>НРК</c:v>
                  </c:pt>
                  <c:pt idx="4">
                    <c:v>НК1</c:v>
                  </c:pt>
                  <c:pt idx="5">
                    <c:v>НОК1</c:v>
                  </c:pt>
                  <c:pt idx="6">
                    <c:v>НРК</c:v>
                  </c:pt>
                  <c:pt idx="7">
                    <c:v>НК1</c:v>
                  </c:pt>
                  <c:pt idx="8">
                    <c:v>НОК1</c:v>
                  </c:pt>
                </c:lvl>
                <c:lvl>
                  <c:pt idx="0">
                    <c:v>за результатами стрес-тестування</c:v>
                  </c:pt>
                  <c:pt idx="3">
                    <c:v>з урахуванням здійснених та запланованих банком заходів*, %</c:v>
                  </c:pt>
                  <c:pt idx="6">
                    <c:v>Фактичний рівень нормативів на 01.12.2025 р.</c:v>
                  </c:pt>
                </c:lvl>
              </c:multiLvlStrCache>
            </c:multiLvlStrRef>
          </c:cat>
          <c:val>
            <c:numRef>
              <c:f>'Capital need'!$E$5:$E$13</c:f>
              <c:numCache>
                <c:formatCode>0.0%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E20-497D-AF8A-E8932A491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611263544"/>
        <c:axId val="611260592"/>
      </c:barChart>
      <c:catAx>
        <c:axId val="611263544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11260592"/>
        <c:crosses val="autoZero"/>
        <c:auto val="1"/>
        <c:lblAlgn val="ctr"/>
        <c:lblOffset val="100"/>
        <c:noMultiLvlLbl val="0"/>
      </c:catAx>
      <c:valAx>
        <c:axId val="6112605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11263544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2.7188209308536403E-2"/>
          <c:w val="0.96486214089119726"/>
          <c:h val="0.897210907181701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1"/>
            <c:invertIfNegative val="0"/>
            <c:bubble3D val="0"/>
            <c:spPr>
              <a:solidFill>
                <a:srgbClr val="91C86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DF30-4A25-90FA-348CB24A87CA}"/>
              </c:ext>
            </c:extLst>
          </c:dPt>
          <c:dPt>
            <c:idx val="2"/>
            <c:invertIfNegative val="0"/>
            <c:bubble3D val="0"/>
            <c:spPr>
              <a:solidFill>
                <a:srgbClr val="7D053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DF30-4A25-90FA-348CB24A87CA}"/>
              </c:ext>
            </c:extLst>
          </c:dPt>
          <c:dPt>
            <c:idx val="4"/>
            <c:invertIfNegative val="0"/>
            <c:bubble3D val="0"/>
            <c:spPr>
              <a:solidFill>
                <a:srgbClr val="91C86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DF30-4A25-90FA-348CB24A87CA}"/>
              </c:ext>
            </c:extLst>
          </c:dPt>
          <c:dPt>
            <c:idx val="5"/>
            <c:invertIfNegative val="0"/>
            <c:bubble3D val="0"/>
            <c:spPr>
              <a:solidFill>
                <a:srgbClr val="7D053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DF30-4A25-90FA-348CB24A87CA}"/>
              </c:ext>
            </c:extLst>
          </c:dPt>
          <c:dPt>
            <c:idx val="7"/>
            <c:invertIfNegative val="0"/>
            <c:bubble3D val="0"/>
            <c:spPr>
              <a:solidFill>
                <a:srgbClr val="91C86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F-DF30-4A25-90FA-348CB24A87CA}"/>
              </c:ext>
            </c:extLst>
          </c:dPt>
          <c:dPt>
            <c:idx val="8"/>
            <c:invertIfNegative val="0"/>
            <c:bubble3D val="0"/>
            <c:spPr>
              <a:solidFill>
                <a:srgbClr val="7D053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1-DF30-4A25-90FA-348CB24A87CA}"/>
              </c:ext>
            </c:extLst>
          </c:dPt>
          <c:cat>
            <c:multiLvlStrRef>
              <c:f>'Capital need'!$C$5:$D$13</c:f>
              <c:multiLvlStrCache>
                <c:ptCount val="9"/>
                <c:lvl>
                  <c:pt idx="0">
                    <c:v>НРК</c:v>
                  </c:pt>
                  <c:pt idx="1">
                    <c:v>НК1</c:v>
                  </c:pt>
                  <c:pt idx="2">
                    <c:v>НОК1</c:v>
                  </c:pt>
                  <c:pt idx="3">
                    <c:v>НРК</c:v>
                  </c:pt>
                  <c:pt idx="4">
                    <c:v>НК1</c:v>
                  </c:pt>
                  <c:pt idx="5">
                    <c:v>НОК1</c:v>
                  </c:pt>
                  <c:pt idx="6">
                    <c:v>НРК</c:v>
                  </c:pt>
                  <c:pt idx="7">
                    <c:v>НК1</c:v>
                  </c:pt>
                  <c:pt idx="8">
                    <c:v>НОК1</c:v>
                  </c:pt>
                </c:lvl>
                <c:lvl>
                  <c:pt idx="0">
                    <c:v>за результатами стрес-тестування</c:v>
                  </c:pt>
                  <c:pt idx="3">
                    <c:v>з урахуванням здійснених та запланованих банком заходів*, %</c:v>
                  </c:pt>
                  <c:pt idx="6">
                    <c:v>Фактичний рівень нормативів на 01.12.2025 р.</c:v>
                  </c:pt>
                </c:lvl>
              </c:multiLvlStrCache>
            </c:multiLvlStrRef>
          </c:cat>
          <c:val>
            <c:numRef>
              <c:f>'Capital need'!$H$5:$H$13</c:f>
              <c:numCache>
                <c:formatCode>0.0%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F30-4A25-90FA-348CB24A8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611263544"/>
        <c:axId val="611260592"/>
      </c:barChart>
      <c:catAx>
        <c:axId val="611263544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11260592"/>
        <c:crosses val="autoZero"/>
        <c:auto val="1"/>
        <c:lblAlgn val="ctr"/>
        <c:lblOffset val="100"/>
        <c:noMultiLvlLbl val="0"/>
      </c:catAx>
      <c:valAx>
        <c:axId val="6112605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11263544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21" dropStyle="combo" dx="20" fmlaLink="$C$2" fmlaRange="tech!$I$4:$I$25" sel="22" val="0"/>
</file>

<file path=xl/ctrlProps/ctrlProp10.xml><?xml version="1.0" encoding="utf-8"?>
<formControlPr xmlns="http://schemas.microsoft.com/office/spreadsheetml/2009/9/main" objectType="Drop" dropLines="21" dropStyle="combo" dx="20" fmlaLink="tech!$I$1" fmlaRange="tech!$N$3:$N$4" sel="1" val="0"/>
</file>

<file path=xl/ctrlProps/ctrlProp11.xml><?xml version="1.0" encoding="utf-8"?>
<formControlPr xmlns="http://schemas.microsoft.com/office/spreadsheetml/2009/9/main" objectType="Drop" dropLines="21" dropStyle="combo" dx="20" fmlaLink="$I$2" fmlaRange="tech!$I$4:$I$25" sel="4" val="0"/>
</file>

<file path=xl/ctrlProps/ctrlProp12.xml><?xml version="1.0" encoding="utf-8"?>
<formControlPr xmlns="http://schemas.microsoft.com/office/spreadsheetml/2009/9/main" objectType="Drop" dropLines="21" dropStyle="combo" dx="20" fmlaLink="$C$4" fmlaRange="tech!$I$4:$I$25" sel="4" val="0"/>
</file>

<file path=xl/ctrlProps/ctrlProp13.xml><?xml version="1.0" encoding="utf-8"?>
<formControlPr xmlns="http://schemas.microsoft.com/office/spreadsheetml/2009/9/main" objectType="Drop" dropLines="21" dropStyle="combo" dx="20" fmlaLink="$I$4" fmlaRange="tech!$I$4:$I$25" sel="9" val="0"/>
</file>

<file path=xl/ctrlProps/ctrlProp14.xml><?xml version="1.0" encoding="utf-8"?>
<formControlPr xmlns="http://schemas.microsoft.com/office/spreadsheetml/2009/9/main" objectType="Drop" dropLines="21" dropStyle="combo" dx="20" fmlaLink="$O$4" fmlaRange="tech!$I$4:$I$25" sel="12" val="0"/>
</file>

<file path=xl/ctrlProps/ctrlProp15.xml><?xml version="1.0" encoding="utf-8"?>
<formControlPr xmlns="http://schemas.microsoft.com/office/spreadsheetml/2009/9/main" objectType="Drop" dropLines="21" dropStyle="combo" dx="20" fmlaLink="$U$4" fmlaRange="tech!$I$4:$I$25" sel="13" val="0"/>
</file>

<file path=xl/ctrlProps/ctrlProp16.xml><?xml version="1.0" encoding="utf-8"?>
<formControlPr xmlns="http://schemas.microsoft.com/office/spreadsheetml/2009/9/main" objectType="Drop" dropLines="21" dropStyle="combo" dx="20" fmlaLink="tech!$I$1" fmlaRange="tech!$N$3:$N$4" sel="1" val="0"/>
</file>

<file path=xl/ctrlProps/ctrlProp17.xml><?xml version="1.0" encoding="utf-8"?>
<formControlPr xmlns="http://schemas.microsoft.com/office/spreadsheetml/2009/9/main" objectType="Drop" dropLines="21" dropStyle="combo" dx="20" fmlaLink="tech!$I$1" fmlaRange="tech!$N$3:$N$4" sel="1" val="0"/>
</file>

<file path=xl/ctrlProps/ctrlProp18.xml><?xml version="1.0" encoding="utf-8"?>
<formControlPr xmlns="http://schemas.microsoft.com/office/spreadsheetml/2009/9/main" objectType="Drop" dropLines="2" dropStyle="combo" dx="20" fmlaLink="tech!$I$1" fmlaRange="tech!$N$3:$N$4" sel="1" val="0"/>
</file>

<file path=xl/ctrlProps/ctrlProp19.xml><?xml version="1.0" encoding="utf-8"?>
<formControlPr xmlns="http://schemas.microsoft.com/office/spreadsheetml/2009/9/main" objectType="Drop" dropLines="21" dropStyle="combo" dx="20" fmlaLink="tech!$I$1" fmlaRange="tech!$N$3:$N$4" sel="1" val="0"/>
</file>

<file path=xl/ctrlProps/ctrlProp2.xml><?xml version="1.0" encoding="utf-8"?>
<formControlPr xmlns="http://schemas.microsoft.com/office/spreadsheetml/2009/9/main" objectType="Drop" dropLines="21" dropStyle="combo" dx="20" fmlaLink="tech!$I$1" fmlaRange="tech!$N$3:$N$4" sel="1" val="0"/>
</file>

<file path=xl/ctrlProps/ctrlProp3.xml><?xml version="1.0" encoding="utf-8"?>
<formControlPr xmlns="http://schemas.microsoft.com/office/spreadsheetml/2009/9/main" objectType="Drop" dropLines="21" dropStyle="combo" dx="20" fmlaLink="$I$2" fmlaRange="tech!$I$4:$I$25" sel="22" val="0"/>
</file>

<file path=xl/ctrlProps/ctrlProp4.xml><?xml version="1.0" encoding="utf-8"?>
<formControlPr xmlns="http://schemas.microsoft.com/office/spreadsheetml/2009/9/main" objectType="Drop" dropLines="21" dropStyle="combo" dx="20" fmlaLink="tech!$I$1" fmlaRange="tech!$N$3:$N$4" sel="1" val="0"/>
</file>

<file path=xl/ctrlProps/ctrlProp5.xml><?xml version="1.0" encoding="utf-8"?>
<formControlPr xmlns="http://schemas.microsoft.com/office/spreadsheetml/2009/9/main" objectType="Drop" dropLines="22" dropStyle="combo" dx="20" fmlaLink="$E$4" fmlaRange="tech!$I$4:$I$25" sel="22" val="0"/>
</file>

<file path=xl/ctrlProps/ctrlProp6.xml><?xml version="1.0" encoding="utf-8"?>
<formControlPr xmlns="http://schemas.microsoft.com/office/spreadsheetml/2009/9/main" objectType="Drop" dropLines="22" dropStyle="combo" dx="20" fmlaLink="$H$4" fmlaRange="tech!$I$4:$I$25" sel="22" val="0"/>
</file>

<file path=xl/ctrlProps/ctrlProp7.xml><?xml version="1.0" encoding="utf-8"?>
<formControlPr xmlns="http://schemas.microsoft.com/office/spreadsheetml/2009/9/main" objectType="Drop" dropLines="22" dropStyle="combo" dx="20" fmlaLink="$K$4" fmlaRange="tech!$I$4:$I$25" sel="22" val="0"/>
</file>

<file path=xl/ctrlProps/ctrlProp8.xml><?xml version="1.0" encoding="utf-8"?>
<formControlPr xmlns="http://schemas.microsoft.com/office/spreadsheetml/2009/9/main" objectType="Drop" dropLines="22" dropStyle="combo" dx="20" fmlaLink="$N$4" fmlaRange="tech!$I$4:$I$25" sel="22" val="0"/>
</file>

<file path=xl/ctrlProps/ctrlProp9.xml><?xml version="1.0" encoding="utf-8"?>
<formControlPr xmlns="http://schemas.microsoft.com/office/spreadsheetml/2009/9/main" objectType="Drop" dropLines="21" dropStyle="combo" dx="20" fmlaLink="tech!$I$1" fmlaRange="tech!$N$3:$N$4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12" Type="http://schemas.openxmlformats.org/officeDocument/2006/relationships/chart" Target="../charts/chart29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11" Type="http://schemas.openxmlformats.org/officeDocument/2006/relationships/chart" Target="../charts/chart28.xml"/><Relationship Id="rId5" Type="http://schemas.openxmlformats.org/officeDocument/2006/relationships/chart" Target="../charts/chart22.xml"/><Relationship Id="rId10" Type="http://schemas.openxmlformats.org/officeDocument/2006/relationships/chart" Target="../charts/chart27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822616</xdr:colOff>
      <xdr:row>18</xdr:row>
      <xdr:rowOff>265578</xdr:rowOff>
    </xdr:from>
    <xdr:to>
      <xdr:col>12</xdr:col>
      <xdr:colOff>426218</xdr:colOff>
      <xdr:row>36</xdr:row>
      <xdr:rowOff>49953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96071</xdr:colOff>
      <xdr:row>18</xdr:row>
      <xdr:rowOff>277305</xdr:rowOff>
    </xdr:from>
    <xdr:to>
      <xdr:col>2</xdr:col>
      <xdr:colOff>482381</xdr:colOff>
      <xdr:row>36</xdr:row>
      <xdr:rowOff>61680</xdr:rowOff>
    </xdr:to>
    <xdr:graphicFrame macro="">
      <xdr:nvGraphicFramePr>
        <xdr:cNvPr id="3" name="Діаграма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0</xdr:row>
          <xdr:rowOff>152400</xdr:rowOff>
        </xdr:from>
        <xdr:to>
          <xdr:col>5</xdr:col>
          <xdr:colOff>525780</xdr:colOff>
          <xdr:row>2</xdr:row>
          <xdr:rowOff>22860</xdr:rowOff>
        </xdr:to>
        <xdr:sp macro="" textlink="">
          <xdr:nvSpPr>
            <xdr:cNvPr id="18433" name="Drop Down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0</xdr:row>
          <xdr:rowOff>22860</xdr:rowOff>
        </xdr:from>
        <xdr:to>
          <xdr:col>10</xdr:col>
          <xdr:colOff>480060</xdr:colOff>
          <xdr:row>1</xdr:row>
          <xdr:rowOff>22860</xdr:rowOff>
        </xdr:to>
        <xdr:sp macro="" textlink="">
          <xdr:nvSpPr>
            <xdr:cNvPr id="18436" name="Drop Down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703346</xdr:colOff>
      <xdr:row>18</xdr:row>
      <xdr:rowOff>266683</xdr:rowOff>
    </xdr:from>
    <xdr:to>
      <xdr:col>7</xdr:col>
      <xdr:colOff>403580</xdr:colOff>
      <xdr:row>36</xdr:row>
      <xdr:rowOff>31870</xdr:rowOff>
    </xdr:to>
    <xdr:graphicFrame macro="">
      <xdr:nvGraphicFramePr>
        <xdr:cNvPr id="8" name="Діаграма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296489</xdr:colOff>
      <xdr:row>21</xdr:row>
      <xdr:rowOff>72705</xdr:rowOff>
    </xdr:from>
    <xdr:to>
      <xdr:col>4</xdr:col>
      <xdr:colOff>322364</xdr:colOff>
      <xdr:row>39</xdr:row>
      <xdr:rowOff>74055</xdr:rowOff>
    </xdr:to>
    <xdr:graphicFrame macro="">
      <xdr:nvGraphicFramePr>
        <xdr:cNvPr id="2" name="Діаграма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127178</xdr:colOff>
      <xdr:row>20</xdr:row>
      <xdr:rowOff>159376</xdr:rowOff>
    </xdr:from>
    <xdr:to>
      <xdr:col>8</xdr:col>
      <xdr:colOff>1000778</xdr:colOff>
      <xdr:row>38</xdr:row>
      <xdr:rowOff>160726</xdr:rowOff>
    </xdr:to>
    <xdr:graphicFrame macro="">
      <xdr:nvGraphicFramePr>
        <xdr:cNvPr id="3" name="Діаграма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914400</xdr:colOff>
          <xdr:row>1</xdr:row>
          <xdr:rowOff>38100</xdr:rowOff>
        </xdr:from>
        <xdr:to>
          <xdr:col>11</xdr:col>
          <xdr:colOff>30480</xdr:colOff>
          <xdr:row>2</xdr:row>
          <xdr:rowOff>106680</xdr:rowOff>
        </xdr:to>
        <xdr:sp macro="" textlink="">
          <xdr:nvSpPr>
            <xdr:cNvPr id="27649" name="Drop Down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2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291706</xdr:colOff>
      <xdr:row>21</xdr:row>
      <xdr:rowOff>57941</xdr:rowOff>
    </xdr:from>
    <xdr:to>
      <xdr:col>12</xdr:col>
      <xdr:colOff>422356</xdr:colOff>
      <xdr:row>39</xdr:row>
      <xdr:rowOff>59291</xdr:rowOff>
    </xdr:to>
    <xdr:graphicFrame macro="">
      <xdr:nvGraphicFramePr>
        <xdr:cNvPr id="6" name="Діаграма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623811</xdr:colOff>
      <xdr:row>21</xdr:row>
      <xdr:rowOff>57107</xdr:rowOff>
    </xdr:from>
    <xdr:to>
      <xdr:col>17</xdr:col>
      <xdr:colOff>182961</xdr:colOff>
      <xdr:row>39</xdr:row>
      <xdr:rowOff>58457</xdr:rowOff>
    </xdr:to>
    <xdr:graphicFrame macro="">
      <xdr:nvGraphicFramePr>
        <xdr:cNvPr id="7" name="Діаграма 5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914400</xdr:colOff>
          <xdr:row>0</xdr:row>
          <xdr:rowOff>0</xdr:rowOff>
        </xdr:from>
        <xdr:to>
          <xdr:col>10</xdr:col>
          <xdr:colOff>7620</xdr:colOff>
          <xdr:row>1</xdr:row>
          <xdr:rowOff>38100</xdr:rowOff>
        </xdr:to>
        <xdr:sp macro="" textlink="">
          <xdr:nvSpPr>
            <xdr:cNvPr id="27652" name="Drop Down 4" hidden="1">
              <a:extLst>
                <a:ext uri="{63B3BB69-23CF-44E3-9099-C40C66FF867C}">
                  <a14:compatExt spid="_x0000_s27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</xdr:row>
          <xdr:rowOff>83820</xdr:rowOff>
        </xdr:from>
        <xdr:to>
          <xdr:col>6</xdr:col>
          <xdr:colOff>556260</xdr:colOff>
          <xdr:row>3</xdr:row>
          <xdr:rowOff>335280</xdr:rowOff>
        </xdr:to>
        <xdr:sp macro="" textlink="">
          <xdr:nvSpPr>
            <xdr:cNvPr id="61441" name="Drop Down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7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</xdr:row>
          <xdr:rowOff>106680</xdr:rowOff>
        </xdr:from>
        <xdr:to>
          <xdr:col>9</xdr:col>
          <xdr:colOff>518160</xdr:colOff>
          <xdr:row>3</xdr:row>
          <xdr:rowOff>312420</xdr:rowOff>
        </xdr:to>
        <xdr:sp macro="" textlink="">
          <xdr:nvSpPr>
            <xdr:cNvPr id="61442" name="Drop Down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7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3</xdr:row>
          <xdr:rowOff>106680</xdr:rowOff>
        </xdr:from>
        <xdr:to>
          <xdr:col>13</xdr:col>
          <xdr:colOff>22860</xdr:colOff>
          <xdr:row>3</xdr:row>
          <xdr:rowOff>312420</xdr:rowOff>
        </xdr:to>
        <xdr:sp macro="" textlink="">
          <xdr:nvSpPr>
            <xdr:cNvPr id="61443" name="Drop Down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7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160020</xdr:colOff>
          <xdr:row>3</xdr:row>
          <xdr:rowOff>114300</xdr:rowOff>
        </xdr:from>
        <xdr:to>
          <xdr:col>16</xdr:col>
          <xdr:colOff>0</xdr:colOff>
          <xdr:row>3</xdr:row>
          <xdr:rowOff>327660</xdr:rowOff>
        </xdr:to>
        <xdr:sp macro="" textlink="">
          <xdr:nvSpPr>
            <xdr:cNvPr id="61444" name="Drop Down 4" hidden="1">
              <a:extLst>
                <a:ext uri="{63B3BB69-23CF-44E3-9099-C40C66FF867C}">
                  <a14:compatExt spid="_x0000_s61444"/>
                </a:ext>
                <a:ext uri="{FF2B5EF4-FFF2-40B4-BE49-F238E27FC236}">
                  <a16:creationId xmlns:a16="http://schemas.microsoft.com/office/drawing/2014/main" id="{00000000-0008-0000-07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4481</xdr:colOff>
      <xdr:row>17</xdr:row>
      <xdr:rowOff>628971</xdr:rowOff>
    </xdr:from>
    <xdr:to>
      <xdr:col>3</xdr:col>
      <xdr:colOff>712506</xdr:colOff>
      <xdr:row>29</xdr:row>
      <xdr:rowOff>88163</xdr:rowOff>
    </xdr:to>
    <xdr:graphicFrame macro="">
      <xdr:nvGraphicFramePr>
        <xdr:cNvPr id="7" name="Діаграма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259080</xdr:colOff>
          <xdr:row>0</xdr:row>
          <xdr:rowOff>7620</xdr:rowOff>
        </xdr:from>
        <xdr:to>
          <xdr:col>10</xdr:col>
          <xdr:colOff>525780</xdr:colOff>
          <xdr:row>1</xdr:row>
          <xdr:rowOff>22860</xdr:rowOff>
        </xdr:to>
        <xdr:sp macro="" textlink="">
          <xdr:nvSpPr>
            <xdr:cNvPr id="61446" name="Drop Down 6" hidden="1">
              <a:extLst>
                <a:ext uri="{63B3BB69-23CF-44E3-9099-C40C66FF867C}">
                  <a14:compatExt spid="_x0000_s61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705969</xdr:colOff>
      <xdr:row>17</xdr:row>
      <xdr:rowOff>672354</xdr:rowOff>
    </xdr:from>
    <xdr:to>
      <xdr:col>8</xdr:col>
      <xdr:colOff>366244</xdr:colOff>
      <xdr:row>29</xdr:row>
      <xdr:rowOff>131546</xdr:rowOff>
    </xdr:to>
    <xdr:graphicFrame macro="">
      <xdr:nvGraphicFramePr>
        <xdr:cNvPr id="11" name="Діаграма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493057</xdr:colOff>
      <xdr:row>17</xdr:row>
      <xdr:rowOff>672354</xdr:rowOff>
    </xdr:from>
    <xdr:to>
      <xdr:col>14</xdr:col>
      <xdr:colOff>143807</xdr:colOff>
      <xdr:row>29</xdr:row>
      <xdr:rowOff>131546</xdr:rowOff>
    </xdr:to>
    <xdr:graphicFrame macro="">
      <xdr:nvGraphicFramePr>
        <xdr:cNvPr id="12" name="Діаграма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224117</xdr:colOff>
      <xdr:row>17</xdr:row>
      <xdr:rowOff>672355</xdr:rowOff>
    </xdr:from>
    <xdr:to>
      <xdr:col>17</xdr:col>
      <xdr:colOff>313017</xdr:colOff>
      <xdr:row>29</xdr:row>
      <xdr:rowOff>133788</xdr:rowOff>
    </xdr:to>
    <xdr:graphicFrame macro="">
      <xdr:nvGraphicFramePr>
        <xdr:cNvPr id="13" name="Діаграма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930126</xdr:colOff>
      <xdr:row>21</xdr:row>
      <xdr:rowOff>22193</xdr:rowOff>
    </xdr:from>
    <xdr:to>
      <xdr:col>6</xdr:col>
      <xdr:colOff>274806</xdr:colOff>
      <xdr:row>38</xdr:row>
      <xdr:rowOff>55213</xdr:rowOff>
    </xdr:to>
    <xdr:graphicFrame macro="">
      <xdr:nvGraphicFramePr>
        <xdr:cNvPr id="2" name="Діаграма 5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992917</xdr:colOff>
      <xdr:row>40</xdr:row>
      <xdr:rowOff>152357</xdr:rowOff>
    </xdr:from>
    <xdr:to>
      <xdr:col>6</xdr:col>
      <xdr:colOff>337597</xdr:colOff>
      <xdr:row>58</xdr:row>
      <xdr:rowOff>17737</xdr:rowOff>
    </xdr:to>
    <xdr:graphicFrame macro="">
      <xdr:nvGraphicFramePr>
        <xdr:cNvPr id="3" name="Діаграма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121920</xdr:colOff>
          <xdr:row>0</xdr:row>
          <xdr:rowOff>0</xdr:rowOff>
        </xdr:from>
        <xdr:to>
          <xdr:col>10</xdr:col>
          <xdr:colOff>7620</xdr:colOff>
          <xdr:row>0</xdr:row>
          <xdr:rowOff>213360</xdr:rowOff>
        </xdr:to>
        <xdr:sp macro="" textlink="">
          <xdr:nvSpPr>
            <xdr:cNvPr id="49155" name="Drop Down 3" hidden="1">
              <a:extLst>
                <a:ext uri="{63B3BB69-23CF-44E3-9099-C40C66FF867C}">
                  <a14:compatExt spid="_x0000_s49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594360</xdr:colOff>
          <xdr:row>0</xdr:row>
          <xdr:rowOff>236220</xdr:rowOff>
        </xdr:from>
        <xdr:to>
          <xdr:col>11</xdr:col>
          <xdr:colOff>106680</xdr:colOff>
          <xdr:row>2</xdr:row>
          <xdr:rowOff>60960</xdr:rowOff>
        </xdr:to>
        <xdr:sp macro="" textlink="">
          <xdr:nvSpPr>
            <xdr:cNvPr id="49156" name="Drop Down 4" hidden="1">
              <a:extLst>
                <a:ext uri="{63B3BB69-23CF-44E3-9099-C40C66FF867C}">
                  <a14:compatExt spid="_x0000_s49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497540</xdr:colOff>
      <xdr:row>21</xdr:row>
      <xdr:rowOff>40340</xdr:rowOff>
    </xdr:from>
    <xdr:to>
      <xdr:col>12</xdr:col>
      <xdr:colOff>154640</xdr:colOff>
      <xdr:row>38</xdr:row>
      <xdr:rowOff>73360</xdr:rowOff>
    </xdr:to>
    <xdr:graphicFrame macro="">
      <xdr:nvGraphicFramePr>
        <xdr:cNvPr id="10" name="Діаграма 5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340658</xdr:colOff>
      <xdr:row>21</xdr:row>
      <xdr:rowOff>27454</xdr:rowOff>
    </xdr:from>
    <xdr:to>
      <xdr:col>18</xdr:col>
      <xdr:colOff>417754</xdr:colOff>
      <xdr:row>38</xdr:row>
      <xdr:rowOff>60474</xdr:rowOff>
    </xdr:to>
    <xdr:graphicFrame macro="">
      <xdr:nvGraphicFramePr>
        <xdr:cNvPr id="12" name="Діаграма 5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535639</xdr:colOff>
      <xdr:row>40</xdr:row>
      <xdr:rowOff>132230</xdr:rowOff>
    </xdr:from>
    <xdr:to>
      <xdr:col>12</xdr:col>
      <xdr:colOff>192739</xdr:colOff>
      <xdr:row>57</xdr:row>
      <xdr:rowOff>165250</xdr:rowOff>
    </xdr:to>
    <xdr:graphicFrame macro="">
      <xdr:nvGraphicFramePr>
        <xdr:cNvPr id="13" name="Діаграма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421341</xdr:colOff>
      <xdr:row>40</xdr:row>
      <xdr:rowOff>159683</xdr:rowOff>
    </xdr:from>
    <xdr:to>
      <xdr:col>19</xdr:col>
      <xdr:colOff>63201</xdr:colOff>
      <xdr:row>58</xdr:row>
      <xdr:rowOff>22374</xdr:rowOff>
    </xdr:to>
    <xdr:graphicFrame macro="">
      <xdr:nvGraphicFramePr>
        <xdr:cNvPr id="14" name="Діаграма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230840</xdr:colOff>
      <xdr:row>19</xdr:row>
      <xdr:rowOff>101435</xdr:rowOff>
    </xdr:from>
    <xdr:to>
      <xdr:col>5</xdr:col>
      <xdr:colOff>297515</xdr:colOff>
      <xdr:row>37</xdr:row>
      <xdr:rowOff>69685</xdr:rowOff>
    </xdr:to>
    <xdr:graphicFrame macro="">
      <xdr:nvGraphicFramePr>
        <xdr:cNvPr id="2" name="Діаграма 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176332</xdr:colOff>
      <xdr:row>38</xdr:row>
      <xdr:rowOff>158564</xdr:rowOff>
    </xdr:from>
    <xdr:to>
      <xdr:col>5</xdr:col>
      <xdr:colOff>243585</xdr:colOff>
      <xdr:row>56</xdr:row>
      <xdr:rowOff>94664</xdr:rowOff>
    </xdr:to>
    <xdr:graphicFrame macro="">
      <xdr:nvGraphicFramePr>
        <xdr:cNvPr id="3" name="Діаграма 5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177694</xdr:colOff>
      <xdr:row>58</xdr:row>
      <xdr:rowOff>113339</xdr:rowOff>
    </xdr:from>
    <xdr:to>
      <xdr:col>5</xdr:col>
      <xdr:colOff>244369</xdr:colOff>
      <xdr:row>76</xdr:row>
      <xdr:rowOff>49439</xdr:rowOff>
    </xdr:to>
    <xdr:graphicFrame macro="">
      <xdr:nvGraphicFramePr>
        <xdr:cNvPr id="4" name="Діаграма 5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55948</xdr:colOff>
      <xdr:row>78</xdr:row>
      <xdr:rowOff>139675</xdr:rowOff>
    </xdr:from>
    <xdr:to>
      <xdr:col>5</xdr:col>
      <xdr:colOff>392142</xdr:colOff>
      <xdr:row>96</xdr:row>
      <xdr:rowOff>75775</xdr:rowOff>
    </xdr:to>
    <xdr:graphicFrame macro="">
      <xdr:nvGraphicFramePr>
        <xdr:cNvPr id="5" name="Діаграма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3</xdr:row>
          <xdr:rowOff>0</xdr:rowOff>
        </xdr:from>
        <xdr:to>
          <xdr:col>6</xdr:col>
          <xdr:colOff>220980</xdr:colOff>
          <xdr:row>3</xdr:row>
          <xdr:rowOff>213360</xdr:rowOff>
        </xdr:to>
        <xdr:sp macro="" textlink="">
          <xdr:nvSpPr>
            <xdr:cNvPr id="37889" name="Drop Down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464820</xdr:colOff>
          <xdr:row>3</xdr:row>
          <xdr:rowOff>7620</xdr:rowOff>
        </xdr:from>
        <xdr:to>
          <xdr:col>12</xdr:col>
          <xdr:colOff>68580</xdr:colOff>
          <xdr:row>3</xdr:row>
          <xdr:rowOff>220980</xdr:rowOff>
        </xdr:to>
        <xdr:sp macro="" textlink="">
          <xdr:nvSpPr>
            <xdr:cNvPr id="37890" name="Drop Down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06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419100</xdr:colOff>
          <xdr:row>3</xdr:row>
          <xdr:rowOff>7620</xdr:rowOff>
        </xdr:from>
        <xdr:to>
          <xdr:col>18</xdr:col>
          <xdr:colOff>236220</xdr:colOff>
          <xdr:row>3</xdr:row>
          <xdr:rowOff>228600</xdr:rowOff>
        </xdr:to>
        <xdr:sp macro="" textlink="">
          <xdr:nvSpPr>
            <xdr:cNvPr id="37891" name="Drop Down 3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06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411480</xdr:colOff>
          <xdr:row>2</xdr:row>
          <xdr:rowOff>152400</xdr:rowOff>
        </xdr:from>
        <xdr:to>
          <xdr:col>24</xdr:col>
          <xdr:colOff>464820</xdr:colOff>
          <xdr:row>3</xdr:row>
          <xdr:rowOff>228600</xdr:rowOff>
        </xdr:to>
        <xdr:sp macro="" textlink="">
          <xdr:nvSpPr>
            <xdr:cNvPr id="37892" name="Drop Down 4" hidden="1">
              <a:extLst>
                <a:ext uri="{63B3BB69-23CF-44E3-9099-C40C66FF867C}">
                  <a14:compatExt spid="_x0000_s37892"/>
                </a:ext>
                <a:ext uri="{FF2B5EF4-FFF2-40B4-BE49-F238E27FC236}">
                  <a16:creationId xmlns:a16="http://schemas.microsoft.com/office/drawing/2014/main" id="{00000000-0008-0000-06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0</xdr:row>
          <xdr:rowOff>22860</xdr:rowOff>
        </xdr:from>
        <xdr:to>
          <xdr:col>10</xdr:col>
          <xdr:colOff>0</xdr:colOff>
          <xdr:row>1</xdr:row>
          <xdr:rowOff>30480</xdr:rowOff>
        </xdr:to>
        <xdr:sp macro="" textlink="">
          <xdr:nvSpPr>
            <xdr:cNvPr id="37894" name="Drop Down 6" hidden="1">
              <a:extLst>
                <a:ext uri="{63B3BB69-23CF-44E3-9099-C40C66FF867C}">
                  <a14:compatExt spid="_x0000_s37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489857</xdr:colOff>
      <xdr:row>19</xdr:row>
      <xdr:rowOff>122465</xdr:rowOff>
    </xdr:from>
    <xdr:to>
      <xdr:col>13</xdr:col>
      <xdr:colOff>321786</xdr:colOff>
      <xdr:row>37</xdr:row>
      <xdr:rowOff>90715</xdr:rowOff>
    </xdr:to>
    <xdr:graphicFrame macro="">
      <xdr:nvGraphicFramePr>
        <xdr:cNvPr id="11" name="Діаграма 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435429</xdr:colOff>
      <xdr:row>19</xdr:row>
      <xdr:rowOff>149679</xdr:rowOff>
    </xdr:from>
    <xdr:to>
      <xdr:col>21</xdr:col>
      <xdr:colOff>54429</xdr:colOff>
      <xdr:row>37</xdr:row>
      <xdr:rowOff>117929</xdr:rowOff>
    </xdr:to>
    <xdr:graphicFrame macro="">
      <xdr:nvGraphicFramePr>
        <xdr:cNvPr id="12" name="Діаграма 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413017</xdr:colOff>
      <xdr:row>38</xdr:row>
      <xdr:rowOff>163286</xdr:rowOff>
    </xdr:from>
    <xdr:to>
      <xdr:col>13</xdr:col>
      <xdr:colOff>244946</xdr:colOff>
      <xdr:row>56</xdr:row>
      <xdr:rowOff>99386</xdr:rowOff>
    </xdr:to>
    <xdr:graphicFrame macro="">
      <xdr:nvGraphicFramePr>
        <xdr:cNvPr id="13" name="Діаграма 5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359708</xdr:colOff>
      <xdr:row>39</xdr:row>
      <xdr:rowOff>0</xdr:rowOff>
    </xdr:from>
    <xdr:to>
      <xdr:col>20</xdr:col>
      <xdr:colOff>606255</xdr:colOff>
      <xdr:row>56</xdr:row>
      <xdr:rowOff>126600</xdr:rowOff>
    </xdr:to>
    <xdr:graphicFrame macro="">
      <xdr:nvGraphicFramePr>
        <xdr:cNvPr id="14" name="Діаграма 5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534080</xdr:colOff>
      <xdr:row>59</xdr:row>
      <xdr:rowOff>0</xdr:rowOff>
    </xdr:from>
    <xdr:to>
      <xdr:col>13</xdr:col>
      <xdr:colOff>366009</xdr:colOff>
      <xdr:row>76</xdr:row>
      <xdr:rowOff>126600</xdr:rowOff>
    </xdr:to>
    <xdr:graphicFrame macro="">
      <xdr:nvGraphicFramePr>
        <xdr:cNvPr id="15" name="Діаграма 5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503465</xdr:colOff>
      <xdr:row>58</xdr:row>
      <xdr:rowOff>176893</xdr:rowOff>
    </xdr:from>
    <xdr:to>
      <xdr:col>21</xdr:col>
      <xdr:colOff>122465</xdr:colOff>
      <xdr:row>76</xdr:row>
      <xdr:rowOff>112993</xdr:rowOff>
    </xdr:to>
    <xdr:graphicFrame macro="">
      <xdr:nvGraphicFramePr>
        <xdr:cNvPr id="16" name="Діаграма 5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465364</xdr:colOff>
      <xdr:row>78</xdr:row>
      <xdr:rowOff>137705</xdr:rowOff>
    </xdr:from>
    <xdr:to>
      <xdr:col>13</xdr:col>
      <xdr:colOff>297293</xdr:colOff>
      <xdr:row>96</xdr:row>
      <xdr:rowOff>73805</xdr:rowOff>
    </xdr:to>
    <xdr:graphicFrame macro="">
      <xdr:nvGraphicFramePr>
        <xdr:cNvPr id="17" name="Діаграма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332974</xdr:colOff>
      <xdr:row>78</xdr:row>
      <xdr:rowOff>138472</xdr:rowOff>
    </xdr:from>
    <xdr:to>
      <xdr:col>20</xdr:col>
      <xdr:colOff>579521</xdr:colOff>
      <xdr:row>96</xdr:row>
      <xdr:rowOff>74572</xdr:rowOff>
    </xdr:to>
    <xdr:graphicFrame macro="">
      <xdr:nvGraphicFramePr>
        <xdr:cNvPr id="18" name="Діаграма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693420</xdr:colOff>
          <xdr:row>0</xdr:row>
          <xdr:rowOff>0</xdr:rowOff>
        </xdr:from>
        <xdr:to>
          <xdr:col>9</xdr:col>
          <xdr:colOff>22860</xdr:colOff>
          <xdr:row>1</xdr:row>
          <xdr:rowOff>22860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617220</xdr:colOff>
          <xdr:row>0</xdr:row>
          <xdr:rowOff>7620</xdr:rowOff>
        </xdr:from>
        <xdr:to>
          <xdr:col>10</xdr:col>
          <xdr:colOff>137160</xdr:colOff>
          <xdr:row>1</xdr:row>
          <xdr:rowOff>7620</xdr:rowOff>
        </xdr:to>
        <xdr:sp macro="" textlink="">
          <xdr:nvSpPr>
            <xdr:cNvPr id="8193" name="Drop Dow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9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0</xdr:row>
          <xdr:rowOff>0</xdr:rowOff>
        </xdr:from>
        <xdr:to>
          <xdr:col>10</xdr:col>
          <xdr:colOff>190500</xdr:colOff>
          <xdr:row>1</xdr:row>
          <xdr:rowOff>30480</xdr:rowOff>
        </xdr:to>
        <xdr:sp macro="" textlink="">
          <xdr:nvSpPr>
            <xdr:cNvPr id="26625" name="Drop Down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\work\DFS\Urgent\Dadashova\model_ST_19\ST_final_results_2019\model_ST_2019.07.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"/>
      <sheetName val="Capital"/>
      <sheetName val="FinStatement"/>
      <sheetName val="Interest_Inc+Exp"/>
      <sheetName val="Loans_fcast"/>
      <sheetName val="macro"/>
      <sheetName val="Loans_OthAssets_data"/>
      <sheetName val="Inputs_TablesBank"/>
      <sheetName val="ChangeLog"/>
      <sheetName val="!!!ALFA DELETE!!!"/>
      <sheetName val="Сheck_Interest_Income"/>
      <sheetName val="Check_Loans_fcast"/>
      <sheetName val="1_Capital_Chart"/>
      <sheetName val="2_Balance"/>
      <sheetName val="3_Factors"/>
      <sheetName val="4_EAD_CR_Chart"/>
      <sheetName val="5_Interest_Inc+Exp_Chart"/>
      <sheetName val="6_Interest_Rates_Chart"/>
      <sheetName val="7_PandL"/>
      <sheetName val="8_Annexes_1_2"/>
      <sheetName val="8_Annexes_3"/>
    </sheetNames>
    <sheetDataSet>
      <sheetData sheetId="0">
        <row r="6">
          <cell r="C6" t="str">
            <v>UKR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НБУ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057D46"/>
      </a:accent1>
      <a:accent2>
        <a:srgbClr val="91C864"/>
      </a:accent2>
      <a:accent3>
        <a:srgbClr val="7D0532"/>
      </a:accent3>
      <a:accent4>
        <a:srgbClr val="DC4B64"/>
      </a:accent4>
      <a:accent5>
        <a:srgbClr val="005591"/>
      </a:accent5>
      <a:accent6>
        <a:srgbClr val="46AFE6"/>
      </a:accent6>
      <a:hlink>
        <a:srgbClr val="505050"/>
      </a:hlink>
      <a:folHlink>
        <a:srgbClr val="8C969B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1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8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87"/>
  <sheetViews>
    <sheetView tabSelected="1" zoomScale="80" zoomScaleNormal="80" workbookViewId="0"/>
  </sheetViews>
  <sheetFormatPr defaultColWidth="8.88671875" defaultRowHeight="13.2" x14ac:dyDescent="0.25"/>
  <cols>
    <col min="1" max="1" width="3.6640625" style="29" customWidth="1"/>
    <col min="2" max="2" width="49.5546875" style="29" customWidth="1"/>
    <col min="3" max="6" width="12.33203125" style="29" customWidth="1"/>
    <col min="7" max="11" width="12.44140625" style="29" customWidth="1"/>
    <col min="12" max="12" width="13.44140625" style="29" customWidth="1"/>
    <col min="13" max="13" width="11.88671875" style="29" customWidth="1"/>
    <col min="14" max="17" width="8.88671875" style="29"/>
    <col min="18" max="18" width="3.5546875" style="29" customWidth="1"/>
    <col min="19" max="16384" width="8.88671875" style="29"/>
  </cols>
  <sheetData>
    <row r="1" spans="1:16" x14ac:dyDescent="0.25">
      <c r="J1" s="30" t="str">
        <f>tech!J1</f>
        <v>UA</v>
      </c>
      <c r="L1" s="31" t="str">
        <f>IF($J$1="ENG","Змінити мову тут","Change language here")</f>
        <v>Change language here</v>
      </c>
    </row>
    <row r="2" spans="1:16" ht="13.95" customHeight="1" x14ac:dyDescent="0.25">
      <c r="B2" s="32" t="str">
        <f>IF($J$1="ENG","Stress test results","Результати стрес-тестування")</f>
        <v>Результати стрес-тестування</v>
      </c>
      <c r="C2" s="33">
        <v>22</v>
      </c>
      <c r="D2" s="34" t="e">
        <f>INDEX(tech!$I$4:$I$24,'Individual banks'!C2,1)</f>
        <v>#REF!</v>
      </c>
      <c r="E2" s="33" t="e">
        <f>INDEX(tech!$B$4:$B$24,C2,1)</f>
        <v>#REF!</v>
      </c>
      <c r="G2" s="35"/>
      <c r="H2" s="35"/>
    </row>
    <row r="3" spans="1:16" x14ac:dyDescent="0.25">
      <c r="B3" s="36"/>
      <c r="C3" s="56"/>
      <c r="D3" s="56"/>
      <c r="E3" s="36"/>
      <c r="F3" s="36"/>
      <c r="G3" s="36"/>
      <c r="H3" s="36"/>
      <c r="I3" s="36"/>
      <c r="J3" s="36"/>
      <c r="L3" s="37" t="s">
        <v>65</v>
      </c>
    </row>
    <row r="4" spans="1:16" ht="27" customHeight="1" x14ac:dyDescent="0.25">
      <c r="B4" s="183" t="str">
        <f>IF($J$1="ENG","Indicator","Показник")</f>
        <v>Показник</v>
      </c>
      <c r="C4" s="180" t="str">
        <f>IF($J$1="ENG","Bank's data as of 1 Jan 2025","Дані банку на 01.01.25")</f>
        <v>Дані банку на 01.01.25</v>
      </c>
      <c r="D4" s="180" t="str">
        <f>IF($J$1="ENG","Adjusted bank's data","Скориговані дані банку")</f>
        <v>Скориговані дані банку</v>
      </c>
      <c r="E4" s="180" t="str">
        <f>IF($J$1="ENG","AQR as of 1 Jan 2025","AQR на 01.01.25")</f>
        <v>AQR на 01.01.25</v>
      </c>
      <c r="F4" s="180" t="str">
        <f>IF($J$1="ENG","Baseline scenario","За базовим макроекономічним сценарієм")</f>
        <v>За базовим макроекономічним сценарієм</v>
      </c>
      <c r="G4" s="180"/>
      <c r="H4" s="180"/>
      <c r="I4" s="180" t="str">
        <f>IF($J$1="ENG","Adverse scenario","За несприятливим макроекономічним сценарієм")</f>
        <v>За несприятливим макроекономічним сценарієм</v>
      </c>
      <c r="J4" s="180"/>
      <c r="K4" s="180"/>
      <c r="L4" s="180" t="str">
        <f>IF($J$1="ENG","Required ratio","Необхідний рівень")</f>
        <v>Необхідний рівень</v>
      </c>
    </row>
    <row r="5" spans="1:16" ht="15.6" customHeight="1" x14ac:dyDescent="0.25">
      <c r="B5" s="183"/>
      <c r="C5" s="181"/>
      <c r="D5" s="181"/>
      <c r="E5" s="181"/>
      <c r="F5" s="69" t="str">
        <f>IF($J$1="ENG","1st year","1-й рік")</f>
        <v>1-й рік</v>
      </c>
      <c r="G5" s="69" t="str">
        <f>IF($J$1="ENG","2nd year","2-й рік")</f>
        <v>2-й рік</v>
      </c>
      <c r="H5" s="69" t="str">
        <f>IF($J$1="ENG","3rd year","3-й рік")</f>
        <v>3-й рік</v>
      </c>
      <c r="I5" s="69" t="str">
        <f>F5</f>
        <v>1-й рік</v>
      </c>
      <c r="J5" s="69" t="str">
        <f>G5</f>
        <v>2-й рік</v>
      </c>
      <c r="K5" s="69" t="str">
        <f>H5</f>
        <v>3-й рік</v>
      </c>
      <c r="L5" s="181"/>
    </row>
    <row r="6" spans="1:16" ht="13.2" customHeight="1" x14ac:dyDescent="0.25">
      <c r="B6" s="183"/>
      <c r="C6" s="182"/>
      <c r="D6" s="182"/>
      <c r="E6" s="182"/>
      <c r="F6" s="182" t="str">
        <f>IF($J$1="ENG","forecast year","прогнозний рік")</f>
        <v>прогнозний рік</v>
      </c>
      <c r="G6" s="182"/>
      <c r="H6" s="182"/>
      <c r="I6" s="182" t="str">
        <f>F6</f>
        <v>прогнозний рік</v>
      </c>
      <c r="J6" s="182"/>
      <c r="K6" s="182"/>
      <c r="L6" s="182"/>
    </row>
    <row r="7" spans="1:16" x14ac:dyDescent="0.25">
      <c r="B7" s="137" t="str">
        <f>tech!U4</f>
        <v>ОК1, млн грн</v>
      </c>
      <c r="C7" s="38" t="str">
        <f>IFERROR(INDEX('Data table'!$B$10:$CB$30,MATCH('Individual banks'!$E$2,'Data table'!$B$10:$B$30,0),MATCH(5,'Data table'!$B$3:$CB$3,0)),"")</f>
        <v/>
      </c>
      <c r="D7" s="38" t="str">
        <f>IFERROR(INDEX('Data table'!$B$10:$CB$30,MATCH('Individual banks'!$E$2,'Data table'!$B$10:$B$30,0),MATCH(12,'Data table'!$B$3:$CB$3,0)),"")</f>
        <v/>
      </c>
      <c r="E7" s="38" t="str">
        <f>IFERROR(INDEX('Data table'!$B$10:$CB$30,MATCH('Individual banks'!$E$2,'Data table'!$B$10:$B$30,0),MATCH(20,'Data table'!$B$3:$CB$3,0)),"")</f>
        <v/>
      </c>
      <c r="F7" s="38" t="str">
        <f>IFERROR(INDEX('Data table'!$B$10:$CB$30,MATCH('Individual banks'!$E$2,'Data table'!$B$10:$B$30,0),MATCH(27,'Data table'!$B$3:$CB$3,0)),"")</f>
        <v/>
      </c>
      <c r="G7" s="38" t="str">
        <f>IFERROR(INDEX('Data table'!$B$10:$CB$30,MATCH('Individual banks'!$E$2,'Data table'!$B$10:$B$30,0),MATCH(28,'Data table'!$B$3:$CB$3,0)),"")</f>
        <v/>
      </c>
      <c r="H7" s="38" t="str">
        <f>IFERROR(INDEX('Data table'!$B$10:$CB$30,MATCH('Individual banks'!$E$2,'Data table'!$B$10:$B$30,0),MATCH(29,'Data table'!$B$3:$CB$3,0)),"")</f>
        <v/>
      </c>
      <c r="I7" s="38" t="str">
        <f>IFERROR(INDEX('Data table'!$B$10:$CB$30,MATCH('Individual banks'!$E$2,'Data table'!$B$10:$B$30,0),MATCH(48,'Data table'!$B$3:$CB$3,0)),"")</f>
        <v/>
      </c>
      <c r="J7" s="38" t="str">
        <f>IFERROR(INDEX('Data table'!$B$10:$CB$30,MATCH('Individual banks'!$E$2,'Data table'!$B$10:$B$30,0),MATCH(49,'Data table'!$B$3:$CB$3,0)),"")</f>
        <v/>
      </c>
      <c r="K7" s="38" t="str">
        <f>IFERROR(INDEX('Data table'!$B$10:$CB$30,MATCH('Individual banks'!$E$2,'Data table'!$B$10:$B$30,0),MATCH(50,'Data table'!$B$3:$CB$3,0)),"")</f>
        <v/>
      </c>
      <c r="L7" s="39" t="s">
        <v>66</v>
      </c>
      <c r="M7" s="40"/>
      <c r="N7" s="40"/>
      <c r="O7" s="41"/>
      <c r="P7" s="41"/>
    </row>
    <row r="8" spans="1:16" x14ac:dyDescent="0.25">
      <c r="B8" s="138" t="str">
        <f>tech!U5</f>
        <v>К1, млн грн</v>
      </c>
      <c r="C8" s="42" t="str">
        <f>IFERROR(INDEX('Data table'!$B$10:$CB$30,MATCH('Individual banks'!$E$2,'Data table'!$B$10:$B$30,0),MATCH(6,'Data table'!$B$3:$CB$3,0)),"")</f>
        <v/>
      </c>
      <c r="D8" s="42" t="str">
        <f>IFERROR(INDEX('Data table'!$B$10:$CB$30,MATCH('Individual banks'!$E$2,'Data table'!$B$10:$B$30,0),MATCH(13,'Data table'!$B$3:$CB$3,0)),"")</f>
        <v/>
      </c>
      <c r="E8" s="42" t="str">
        <f>IFERROR(INDEX('Data table'!$B$10:$CB$30,MATCH('Individual banks'!$E$2,'Data table'!$B$10:$B$30,0),MATCH(21,'Data table'!$B$3:$CB$3,0)),"")</f>
        <v/>
      </c>
      <c r="F8" s="42" t="str">
        <f>IFERROR(INDEX('Data table'!$B$10:$CB$30,MATCH('Individual banks'!$E$2,'Data table'!$B$10:$B$30,0),MATCH(30,'Data table'!$B$3:$CB$3,0)),"")</f>
        <v/>
      </c>
      <c r="G8" s="42" t="str">
        <f>IFERROR(INDEX('Data table'!$B$10:$CB$30,MATCH('Individual banks'!$E$2,'Data table'!$B$10:$B$30,0),MATCH(31,'Data table'!$B$3:$CB$3,0)),"")</f>
        <v/>
      </c>
      <c r="H8" s="42" t="str">
        <f>IFERROR(INDEX('Data table'!$B$10:$CB$30,MATCH('Individual banks'!$E$2,'Data table'!$B$10:$B$30,0),MATCH(32,'Data table'!$B$3:$CB$3,0)),"")</f>
        <v/>
      </c>
      <c r="I8" s="42" t="str">
        <f>IFERROR(INDEX('Data table'!$B$10:$CB$30,MATCH('Individual banks'!$E$2,'Data table'!$B$10:$B$30,0),MATCH(51,'Data table'!$B$3:$CB$3,0)),"")</f>
        <v/>
      </c>
      <c r="J8" s="42" t="str">
        <f>IFERROR(INDEX('Data table'!$B$10:$CB$30,MATCH('Individual banks'!$E$2,'Data table'!$B$10:$B$30,0),MATCH(52,'Data table'!$B$3:$CB$3,0)),"")</f>
        <v/>
      </c>
      <c r="K8" s="42" t="str">
        <f>IFERROR(INDEX('Data table'!$B$10:$CB$30,MATCH('Individual banks'!$E$2,'Data table'!$B$10:$B$30,0),MATCH(53,'Data table'!$B$3:$CB$3,0)),"")</f>
        <v/>
      </c>
      <c r="L8" s="43" t="s">
        <v>66</v>
      </c>
      <c r="M8" s="40"/>
      <c r="N8" s="40"/>
      <c r="O8" s="41"/>
      <c r="P8" s="41"/>
    </row>
    <row r="9" spans="1:16" x14ac:dyDescent="0.25">
      <c r="B9" s="139" t="str">
        <f>tech!U6</f>
        <v>РК, млн грн</v>
      </c>
      <c r="C9" s="44" t="str">
        <f>IFERROR(INDEX('Data table'!$B$10:$CB$30,MATCH('Individual banks'!$E$2,'Data table'!$B$10:$B$30,0),MATCH(7,'Data table'!$B$3:$CB$3,0)),"")</f>
        <v/>
      </c>
      <c r="D9" s="44" t="str">
        <f>IFERROR(INDEX('Data table'!$B$10:$CB$30,MATCH('Individual banks'!$E$2,'Data table'!$B$10:$B$30,0),MATCH(14,'Data table'!$B$3:$CB$3,0)),"")</f>
        <v/>
      </c>
      <c r="E9" s="44" t="str">
        <f>IFERROR(INDEX('Data table'!$B$10:$CB$30,MATCH('Individual banks'!$E$2,'Data table'!$B$10:$B$30,0),MATCH(22,'Data table'!$B$3:$CB$3,0)),"")</f>
        <v/>
      </c>
      <c r="F9" s="44" t="str">
        <f>IFERROR(INDEX('Data table'!$B$10:$CB$30,MATCH('Individual banks'!$E$2,'Data table'!$B$10:$B$30,0),MATCH(33,'Data table'!$B$3:$CB$3,0)),"")</f>
        <v/>
      </c>
      <c r="G9" s="44" t="str">
        <f>IFERROR(INDEX('Data table'!$B$10:$CB$30,MATCH('Individual banks'!$E$2,'Data table'!$B$10:$B$30,0),MATCH(34,'Data table'!$B$3:$CB$3,0)),"")</f>
        <v/>
      </c>
      <c r="H9" s="44" t="str">
        <f>IFERROR(INDEX('Data table'!$B$10:$CB$30,MATCH('Individual banks'!$E$2,'Data table'!$B$10:$B$30,0),MATCH(35,'Data table'!$B$3:$CB$3,0)),"")</f>
        <v/>
      </c>
      <c r="I9" s="44" t="str">
        <f>IFERROR(INDEX('Data table'!$B$10:$CB$30,MATCH('Individual banks'!$E$2,'Data table'!$B$10:$B$30,0),MATCH(54,'Data table'!$B$3:$CB$3,0)),"")</f>
        <v/>
      </c>
      <c r="J9" s="44" t="str">
        <f>IFERROR(INDEX('Data table'!$B$10:$CB$30,MATCH('Individual banks'!$E$2,'Data table'!$B$10:$B$30,0),MATCH(55,'Data table'!$B$3:$CB$3,0)),"")</f>
        <v/>
      </c>
      <c r="K9" s="44" t="str">
        <f>IFERROR(INDEX('Data table'!$B$10:$CB$30,MATCH('Individual banks'!$E$2,'Data table'!$B$10:$B$30,0),MATCH(56,'Data table'!$B$3:$CB$3,0)),"")</f>
        <v/>
      </c>
      <c r="L9" s="45" t="s">
        <v>66</v>
      </c>
      <c r="M9" s="40"/>
      <c r="N9" s="40"/>
      <c r="O9" s="41"/>
      <c r="P9" s="41"/>
    </row>
    <row r="10" spans="1:16" x14ac:dyDescent="0.25">
      <c r="B10" s="138" t="str">
        <f>tech!U7</f>
        <v>НРК</v>
      </c>
      <c r="C10" s="46" t="str">
        <f>IFERROR(INDEX('Data table'!$B$10:$CB$30,MATCH('Individual banks'!$E$2,'Data table'!$B$10:$B$30,0),MATCH(8,'Data table'!$B$3:$CB$3,0)),"")</f>
        <v/>
      </c>
      <c r="D10" s="46" t="str">
        <f>IFERROR(INDEX('Data table'!$B$10:$CB$30,MATCH('Individual banks'!$E$2,'Data table'!$B$10:$B$30,0),MATCH(15,'Data table'!$B$3:$CB$3,0)),"")</f>
        <v/>
      </c>
      <c r="E10" s="46" t="str">
        <f>IFERROR(INDEX('Data table'!$B$10:$CB$30,MATCH('Individual banks'!$E$2,'Data table'!$B$10:$B$30,0),MATCH(23,'Data table'!$B$3:$CB$3,0)),"")</f>
        <v/>
      </c>
      <c r="F10" s="46" t="str">
        <f>IFERROR(INDEX('Data table'!$B$10:$CB$30,MATCH('Individual banks'!$E$2,'Data table'!$B$10:$B$30,0),MATCH(36,'Data table'!$B$3:$CB$3,0)),"")</f>
        <v/>
      </c>
      <c r="G10" s="46" t="str">
        <f>IFERROR(INDEX('Data table'!$B$10:$CB$30,MATCH('Individual banks'!$E$2,'Data table'!$B$10:$B$30,0),MATCH(37,'Data table'!$B$3:$CB$3,0)),"")</f>
        <v/>
      </c>
      <c r="H10" s="46" t="str">
        <f>IFERROR(INDEX('Data table'!$B$10:$CB$30,MATCH('Individual banks'!$E$2,'Data table'!$B$10:$B$30,0),MATCH(38,'Data table'!$B$3:$CB$3,0)),"")</f>
        <v/>
      </c>
      <c r="I10" s="46" t="str">
        <f>IFERROR(INDEX('Data table'!$B$10:$CB$30,MATCH('Individual banks'!$E$2,'Data table'!$B$10:$B$30,0),MATCH(57,'Data table'!$B$3:$CB$3,0)),"")</f>
        <v/>
      </c>
      <c r="J10" s="46" t="str">
        <f>IFERROR(INDEX('Data table'!$B$10:$CB$30,MATCH('Individual banks'!$E$2,'Data table'!$B$10:$B$30,0),MATCH(58,'Data table'!$B$3:$CB$3,0)),"")</f>
        <v/>
      </c>
      <c r="K10" s="46" t="str">
        <f>IFERROR(INDEX('Data table'!$B$10:$CB$30,MATCH('Individual banks'!$E$2,'Data table'!$B$10:$B$30,0),MATCH(59,'Data table'!$B$3:$CB$3,0)),"")</f>
        <v/>
      </c>
      <c r="L10" s="46" t="str">
        <f>IFERROR(INDEX('Data table'!$B$10:$CB$30,MATCH('Individual banks'!$E$2,'Data table'!$B$10:$B$30,0),MATCH(72,'Data table'!$B$3:$CB$3,0)),"")</f>
        <v/>
      </c>
      <c r="M10" s="48" t="str">
        <f>IF(OR(L10=10%,L10=""),"",IF($J$1="ENG","Above the minimal required capital adequacy level","Вищий за мінімальний необхідний рівень достатності капіталу"))</f>
        <v/>
      </c>
      <c r="N10" s="40"/>
      <c r="O10" s="41"/>
      <c r="P10" s="41"/>
    </row>
    <row r="11" spans="1:16" x14ac:dyDescent="0.25">
      <c r="B11" s="139" t="str">
        <f>tech!U8</f>
        <v>НК1</v>
      </c>
      <c r="C11" s="47" t="str">
        <f>IFERROR(INDEX('Data table'!$B$10:$CB$30,MATCH('Individual banks'!$E$2,'Data table'!$B$10:$B$30,0),MATCH(9,'Data table'!$B$3:$CB$3,0)),"")</f>
        <v/>
      </c>
      <c r="D11" s="47" t="str">
        <f>IFERROR(INDEX('Data table'!$B$10:$CB$30,MATCH('Individual banks'!$E$2,'Data table'!$B$10:$B$30,0),MATCH(16,'Data table'!$B$3:$CB$3,0)),"")</f>
        <v/>
      </c>
      <c r="E11" s="47" t="str">
        <f>IFERROR(INDEX('Data table'!$B$10:$CB$30,MATCH('Individual banks'!$E$2,'Data table'!$B$10:$B$30,0),MATCH(24,'Data table'!$B$3:$CB$3,0)),"")</f>
        <v/>
      </c>
      <c r="F11" s="47" t="str">
        <f>IFERROR(INDEX('Data table'!$B$10:$CB$30,MATCH('Individual banks'!$E$2,'Data table'!$B$10:$B$30,0),MATCH(39,'Data table'!$B$3:$CB$3,0)),"")</f>
        <v/>
      </c>
      <c r="G11" s="47" t="str">
        <f>IFERROR(INDEX('Data table'!$B$10:$CB$30,MATCH('Individual banks'!$E$2,'Data table'!$B$10:$B$30,0),MATCH(40,'Data table'!$B$3:$CB$3,0)),"")</f>
        <v/>
      </c>
      <c r="H11" s="47" t="str">
        <f>IFERROR(INDEX('Data table'!$B$10:$CB$30,MATCH('Individual banks'!$E$2,'Data table'!$B$10:$B$30,0),MATCH(41,'Data table'!$B$3:$CB$3,0)),"")</f>
        <v/>
      </c>
      <c r="I11" s="47" t="str">
        <f>IFERROR(INDEX('Data table'!$B$10:$CB$30,MATCH('Individual banks'!$E$2,'Data table'!$B$10:$B$30,0),MATCH(60,'Data table'!$B$3:$CB$3,0)),"")</f>
        <v/>
      </c>
      <c r="J11" s="47" t="str">
        <f>IFERROR(INDEX('Data table'!$B$10:$CB$30,MATCH('Individual banks'!$E$2,'Data table'!$B$10:$B$30,0),MATCH(61,'Data table'!$B$3:$CB$3,0)),"")</f>
        <v/>
      </c>
      <c r="K11" s="47" t="str">
        <f>IFERROR(INDEX('Data table'!$B$10:$CB$30,MATCH('Individual banks'!$E$2,'Data table'!$B$10:$B$30,0),MATCH(62,'Data table'!$B$3:$CB$3,0)),"")</f>
        <v/>
      </c>
      <c r="L11" s="47" t="str">
        <f>IFERROR(INDEX('Data table'!$B$10:$CB$30,MATCH('Individual banks'!$E$2,'Data table'!$B$10:$B$30,0),MATCH(73,'Data table'!$B$3:$CB$3,0)),"")</f>
        <v/>
      </c>
      <c r="M11" s="48" t="str">
        <f>IF(OR(L11=7.5%,L11=""),"",IF($J$1="ENG","Above the minimal required capital adequacy level","Вищий за мінімальний необхідний рівень достатності капіталу"))</f>
        <v/>
      </c>
    </row>
    <row r="12" spans="1:16" x14ac:dyDescent="0.25">
      <c r="B12" s="138" t="str">
        <f>tech!U9</f>
        <v>НОК1</v>
      </c>
      <c r="C12" s="46" t="str">
        <f>IFERROR(INDEX('Data table'!$B$10:$CB$30,MATCH('Individual banks'!$E$2,'Data table'!$B$10:$B$30,0),MATCH(10,'Data table'!$B$3:$CB$3,0)),"")</f>
        <v/>
      </c>
      <c r="D12" s="46" t="str">
        <f>IFERROR(INDEX('Data table'!$B$10:$CB$30,MATCH('Individual banks'!$E$2,'Data table'!$B$10:$B$30,0),MATCH(17,'Data table'!$B$3:$CB$3,0)),"")</f>
        <v/>
      </c>
      <c r="E12" s="46" t="str">
        <f>IFERROR(INDEX('Data table'!$B$10:$CB$30,MATCH('Individual banks'!$E$2,'Data table'!$B$10:$B$30,0),MATCH(25,'Data table'!$B$3:$CB$3,0)),"")</f>
        <v/>
      </c>
      <c r="F12" s="46" t="str">
        <f>IFERROR(INDEX('Data table'!$B$10:$CB$30,MATCH('Individual banks'!$E$2,'Data table'!$B$10:$B$30,0),MATCH(42,'Data table'!$B$3:$CB$3,0)),"")</f>
        <v/>
      </c>
      <c r="G12" s="46" t="str">
        <f>IFERROR(INDEX('Data table'!$B$10:$CB$30,MATCH('Individual banks'!$E$2,'Data table'!$B$10:$B$30,0),MATCH(43,'Data table'!$B$3:$CB$3,0)),"")</f>
        <v/>
      </c>
      <c r="H12" s="46" t="str">
        <f>IFERROR(INDEX('Data table'!$B$10:$CB$30,MATCH('Individual banks'!$E$2,'Data table'!$B$10:$B$30,0),MATCH(44,'Data table'!$B$3:$CB$3,0)),"")</f>
        <v/>
      </c>
      <c r="I12" s="46" t="str">
        <f>IFERROR(INDEX('Data table'!$B$10:$CB$30,MATCH('Individual banks'!$E$2,'Data table'!$B$10:$B$30,0),MATCH(63,'Data table'!$B$3:$CB$3,0)),"")</f>
        <v/>
      </c>
      <c r="J12" s="46" t="str">
        <f>IFERROR(INDEX('Data table'!$B$10:$CB$30,MATCH('Individual banks'!$E$2,'Data table'!$B$10:$B$30,0),MATCH(64,'Data table'!$B$3:$CB$3,0)),"")</f>
        <v/>
      </c>
      <c r="K12" s="46" t="str">
        <f>IFERROR(INDEX('Data table'!$B$10:$CB$30,MATCH('Individual banks'!$E$2,'Data table'!$B$10:$B$30,0),MATCH(65,'Data table'!$B$3:$CB$3,0)),"")</f>
        <v/>
      </c>
      <c r="L12" s="46" t="str">
        <f>IFERROR(INDEX('Data table'!$B$10:$CB$30,MATCH('Individual banks'!$E$2,'Data table'!$B$10:$B$30,0),MATCH(74,'Data table'!$B$3:$CB$3,0)),"")</f>
        <v/>
      </c>
      <c r="M12" s="48" t="str">
        <f>IF(OR(L12=5.625%,L12=""),"",IF($J$1="ENG","Above the minimal required capital adequacy level","Вищий за мінімальний необхідний рівень достатності капіталу"))</f>
        <v/>
      </c>
      <c r="N12" s="40"/>
      <c r="O12" s="41"/>
      <c r="P12" s="41"/>
    </row>
    <row r="13" spans="1:16" x14ac:dyDescent="0.25">
      <c r="B13" s="141" t="str">
        <f>IF($J$1="ENG","Hurdle rate of Common Equity Tier 1 capital ratio","Граничне значення НOK1")</f>
        <v>Граничне значення НOK1</v>
      </c>
      <c r="C13" s="142">
        <v>5.6250000000000001E-2</v>
      </c>
      <c r="D13" s="142">
        <v>5.6250000000000001E-2</v>
      </c>
      <c r="E13" s="142">
        <v>5.6250000000000001E-2</v>
      </c>
      <c r="F13" s="142">
        <v>5.6250000000000001E-2</v>
      </c>
      <c r="G13" s="142">
        <v>5.6250000000000001E-2</v>
      </c>
      <c r="H13" s="142">
        <v>5.6250000000000001E-2</v>
      </c>
      <c r="I13" s="142">
        <v>5.6250000000000001E-2</v>
      </c>
      <c r="J13" s="142">
        <v>5.6250000000000001E-2</v>
      </c>
      <c r="K13" s="142">
        <v>5.6250000000000001E-2</v>
      </c>
      <c r="L13" s="45" t="s">
        <v>66</v>
      </c>
      <c r="M13" s="48"/>
      <c r="N13" s="40"/>
      <c r="O13" s="41"/>
      <c r="P13" s="41"/>
    </row>
    <row r="14" spans="1:16" x14ac:dyDescent="0.25">
      <c r="B14" s="138" t="str">
        <f>IF($J$1="ENG","Hurdle rate of Regulatory capital ratio","Граничне значення НРК")</f>
        <v>Граничне значення НРК</v>
      </c>
      <c r="C14" s="46">
        <v>0.1</v>
      </c>
      <c r="D14" s="46">
        <v>0.1</v>
      </c>
      <c r="E14" s="46">
        <v>0.1</v>
      </c>
      <c r="F14" s="46">
        <v>0.1</v>
      </c>
      <c r="G14" s="46">
        <v>0.1</v>
      </c>
      <c r="H14" s="46">
        <v>0.1</v>
      </c>
      <c r="I14" s="46">
        <v>0.1</v>
      </c>
      <c r="J14" s="46">
        <v>0.1</v>
      </c>
      <c r="K14" s="46">
        <v>0.1</v>
      </c>
      <c r="L14" s="43" t="s">
        <v>66</v>
      </c>
      <c r="M14" s="48"/>
      <c r="N14" s="40"/>
      <c r="O14" s="41"/>
      <c r="P14" s="41"/>
    </row>
    <row r="15" spans="1:16" ht="26.4" x14ac:dyDescent="0.25">
      <c r="A15" s="49"/>
      <c r="B15" s="140" t="str">
        <f>IF($J$1="ENG","Change of Common Equity Tier 1 capital ratio relative to bank's data as of 1 Jan 2025, pp","Зміна НОК1 до даних банку на 1 січня 2025 року, в. п.")</f>
        <v>Зміна НОК1 до даних банку на 1 січня 2025 року, в. п.</v>
      </c>
      <c r="C15" s="57"/>
      <c r="D15" s="57"/>
      <c r="E15" s="57"/>
      <c r="F15" s="57" t="str">
        <f t="shared" ref="F15:K15" si="0">IFERROR((F12-$E$12)*100,"")</f>
        <v/>
      </c>
      <c r="G15" s="57" t="str">
        <f t="shared" si="0"/>
        <v/>
      </c>
      <c r="H15" s="57" t="str">
        <f t="shared" si="0"/>
        <v/>
      </c>
      <c r="I15" s="57" t="str">
        <f t="shared" si="0"/>
        <v/>
      </c>
      <c r="J15" s="57" t="str">
        <f t="shared" si="0"/>
        <v/>
      </c>
      <c r="K15" s="57" t="str">
        <f t="shared" si="0"/>
        <v/>
      </c>
      <c r="L15" s="45" t="s">
        <v>66</v>
      </c>
      <c r="M15" s="40"/>
      <c r="N15" s="40"/>
      <c r="O15" s="41" t="str">
        <f>IFERROR(CONCATENATE(B63,H4),B63)</f>
        <v/>
      </c>
      <c r="P15" s="41"/>
    </row>
    <row r="16" spans="1:16" x14ac:dyDescent="0.25">
      <c r="B16" s="50" t="str">
        <f>IF(J1="ENG","AQR – data of asset quality review and collateral eligibility assessment for bank lending, including adjustments in the bank’s financial statements for the reporting year and extrapolation","AQR - 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екстраполяції")</f>
        <v>AQR - 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</v>
      </c>
      <c r="K16" s="51"/>
      <c r="L16" s="51"/>
      <c r="M16" s="51"/>
      <c r="N16" s="51"/>
      <c r="O16" s="51"/>
    </row>
    <row r="17" spans="2:16" x14ac:dyDescent="0.25">
      <c r="B17" s="50" t="str">
        <f>IF($J$1="ENG","The adjusted bank data reflect annual adjustments based on the results of the audit of the financial statements, as well as a retrospective increase in the corporate income tax rate from 25% to 50%.","Скориговані дані банків відображають річні коригування за результатами аудиту фінансової звітності та ретроспективне підвищення ставки податку на прибуток із 25% до 50%.")</f>
        <v>Скориговані дані банків відображають річні коригування за результатами аудиту фінансової звітності та ретроспективне підвищення ставки податку на прибуток із 25% до 50%.</v>
      </c>
      <c r="K17" s="51"/>
      <c r="L17" s="51"/>
      <c r="M17" s="53"/>
      <c r="N17" s="53"/>
      <c r="O17" s="54"/>
      <c r="P17" s="41"/>
    </row>
    <row r="18" spans="2:16" ht="31.95" customHeight="1" x14ac:dyDescent="0.25">
      <c r="B18" s="179"/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40"/>
      <c r="N18" s="40"/>
      <c r="O18" s="41"/>
      <c r="P18" s="41"/>
    </row>
    <row r="19" spans="2:16" ht="27.6" customHeight="1" x14ac:dyDescent="0.25">
      <c r="B19" s="136" t="str">
        <f>IF($J$1="ENG","Common Equity Tier 1 capital ratio","Норматив достатності Основного капіталу 1 рівня")</f>
        <v>Норматив достатності Основного капіталу 1 рівня</v>
      </c>
      <c r="D19" s="95" t="str">
        <f>IF($J$1="ENG","Regulatory capital ratio","Норматив достатності регулятивного капіталу")</f>
        <v>Норматив достатності регулятивного капіталу</v>
      </c>
      <c r="E19" s="125"/>
      <c r="F19" s="125"/>
      <c r="G19" s="125"/>
      <c r="I19" s="132" t="str">
        <f>IF($J$1="ENG","Change of Common Equity Tier 1 capital ratio relative to AQR as of 1 Jan 2025, pp","Зміна НОК1 до даних AQR на 1 січня 2025 року")</f>
        <v>Зміна НОК1 до даних AQR на 1 січня 2025 року</v>
      </c>
      <c r="J19" s="126"/>
      <c r="K19" s="126"/>
      <c r="L19" s="128"/>
      <c r="M19" s="129"/>
      <c r="N19" s="129"/>
      <c r="O19" s="130"/>
      <c r="P19" s="41"/>
    </row>
    <row r="20" spans="2:16" x14ac:dyDescent="0.25"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</row>
    <row r="21" spans="2:16" x14ac:dyDescent="0.25"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</row>
    <row r="22" spans="2:16" x14ac:dyDescent="0.25"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</row>
    <row r="23" spans="2:16" x14ac:dyDescent="0.25"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</row>
    <row r="24" spans="2:16" x14ac:dyDescent="0.25"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</row>
    <row r="25" spans="2:16" x14ac:dyDescent="0.25"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</row>
    <row r="26" spans="2:16" x14ac:dyDescent="0.25"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</row>
    <row r="27" spans="2:16" x14ac:dyDescent="0.25"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</row>
    <row r="28" spans="2:16" x14ac:dyDescent="0.25"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</row>
    <row r="29" spans="2:16" x14ac:dyDescent="0.25"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</row>
    <row r="30" spans="2:16" x14ac:dyDescent="0.25"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</row>
    <row r="31" spans="2:16" x14ac:dyDescent="0.25"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</row>
    <row r="32" spans="2:16" x14ac:dyDescent="0.25"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</row>
    <row r="33" spans="3:15" x14ac:dyDescent="0.25"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</row>
    <row r="34" spans="3:15" x14ac:dyDescent="0.25"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</row>
    <row r="35" spans="3:15" x14ac:dyDescent="0.25"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</row>
    <row r="36" spans="3:15" x14ac:dyDescent="0.25">
      <c r="C36" s="125"/>
      <c r="D36" s="125"/>
      <c r="E36" s="125"/>
      <c r="F36" s="125"/>
      <c r="G36" s="125"/>
      <c r="H36" s="125"/>
      <c r="I36" s="125"/>
      <c r="J36" s="125"/>
      <c r="K36" s="125"/>
      <c r="L36" s="128"/>
      <c r="M36" s="128"/>
      <c r="N36" s="128"/>
      <c r="O36" s="128"/>
    </row>
    <row r="37" spans="3:15" x14ac:dyDescent="0.25">
      <c r="C37" s="131"/>
      <c r="D37" s="128"/>
      <c r="E37" s="128"/>
      <c r="F37" s="128"/>
      <c r="G37" s="128"/>
      <c r="I37" s="128"/>
      <c r="J37" s="128"/>
      <c r="K37" s="128"/>
      <c r="L37" s="128"/>
      <c r="M37" s="128"/>
      <c r="N37" s="128"/>
      <c r="O37" s="128"/>
    </row>
    <row r="38" spans="3:15" x14ac:dyDescent="0.25"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</row>
    <row r="39" spans="3:15" x14ac:dyDescent="0.25"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</row>
    <row r="40" spans="3:15" x14ac:dyDescent="0.25"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</row>
    <row r="41" spans="3:15" x14ac:dyDescent="0.25"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</row>
    <row r="42" spans="3:15" x14ac:dyDescent="0.25"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</row>
    <row r="43" spans="3:15" x14ac:dyDescent="0.25"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</row>
    <row r="44" spans="3:15" x14ac:dyDescent="0.25"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</row>
    <row r="45" spans="3:15" x14ac:dyDescent="0.25"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</row>
    <row r="46" spans="3:15" x14ac:dyDescent="0.25"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</row>
    <row r="47" spans="3:15" x14ac:dyDescent="0.25"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</row>
    <row r="48" spans="3:15" x14ac:dyDescent="0.25"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</row>
    <row r="49" spans="2:15" x14ac:dyDescent="0.25"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</row>
    <row r="50" spans="2:15" x14ac:dyDescent="0.25"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</row>
    <row r="51" spans="2:15" x14ac:dyDescent="0.25"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</row>
    <row r="52" spans="2:15" x14ac:dyDescent="0.25"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</row>
    <row r="53" spans="2:15" x14ac:dyDescent="0.25"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</row>
    <row r="54" spans="2:15" x14ac:dyDescent="0.25"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</row>
    <row r="55" spans="2:15" x14ac:dyDescent="0.25"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</row>
    <row r="56" spans="2:15" x14ac:dyDescent="0.25"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</row>
    <row r="57" spans="2:15" x14ac:dyDescent="0.25">
      <c r="B57" s="127"/>
    </row>
    <row r="58" spans="2:15" x14ac:dyDescent="0.25">
      <c r="B58" s="127"/>
    </row>
    <row r="59" spans="2:15" x14ac:dyDescent="0.25">
      <c r="B59" s="127"/>
    </row>
    <row r="60" spans="2:15" x14ac:dyDescent="0.25">
      <c r="B60" s="127"/>
    </row>
    <row r="61" spans="2:15" x14ac:dyDescent="0.25">
      <c r="B61" s="127"/>
    </row>
    <row r="62" spans="2:15" x14ac:dyDescent="0.25">
      <c r="B62" s="127"/>
    </row>
    <row r="63" spans="2:15" x14ac:dyDescent="0.25">
      <c r="B63" s="127"/>
    </row>
    <row r="64" spans="2:15" x14ac:dyDescent="0.25">
      <c r="B64" s="127"/>
    </row>
    <row r="65" spans="2:2" x14ac:dyDescent="0.25">
      <c r="B65" s="127"/>
    </row>
    <row r="66" spans="2:2" x14ac:dyDescent="0.25">
      <c r="B66" s="127"/>
    </row>
    <row r="67" spans="2:2" x14ac:dyDescent="0.25">
      <c r="B67" s="127"/>
    </row>
    <row r="68" spans="2:2" x14ac:dyDescent="0.25">
      <c r="B68" s="127"/>
    </row>
    <row r="69" spans="2:2" x14ac:dyDescent="0.25">
      <c r="B69" s="127"/>
    </row>
    <row r="70" spans="2:2" x14ac:dyDescent="0.25">
      <c r="B70" s="127"/>
    </row>
    <row r="71" spans="2:2" x14ac:dyDescent="0.25">
      <c r="B71" s="122" t="str">
        <f>IF($J$1="ENG","Hurdle rate of core capital ratio under baseline scenario","Граничне значення Н3 за базового сценарію")</f>
        <v>Граничне значення Н3 за базового сценарію</v>
      </c>
    </row>
    <row r="72" spans="2:2" x14ac:dyDescent="0.25">
      <c r="B72" s="122" t="str">
        <f>IF($J$1="ENG","Hurdle rate of core capital ratio under adverse scenario","Граничне значення Н3 за несприятливого сценарію")</f>
        <v>Граничне значення Н3 за несприятливого сценарію</v>
      </c>
    </row>
    <row r="73" spans="2:2" x14ac:dyDescent="0.25">
      <c r="B73" s="127" t="s">
        <v>59</v>
      </c>
    </row>
    <row r="74" spans="2:2" x14ac:dyDescent="0.25">
      <c r="B74" s="127" t="s">
        <v>60</v>
      </c>
    </row>
    <row r="75" spans="2:2" x14ac:dyDescent="0.25">
      <c r="B75" s="127"/>
    </row>
    <row r="76" spans="2:2" x14ac:dyDescent="0.25">
      <c r="B76" s="127"/>
    </row>
    <row r="77" spans="2:2" x14ac:dyDescent="0.25">
      <c r="B77" s="127"/>
    </row>
    <row r="78" spans="2:2" x14ac:dyDescent="0.25">
      <c r="B78" s="127"/>
    </row>
    <row r="79" spans="2:2" x14ac:dyDescent="0.25">
      <c r="B79" s="127"/>
    </row>
    <row r="80" spans="2:2" x14ac:dyDescent="0.25">
      <c r="B80" s="127"/>
    </row>
    <row r="81" spans="2:2" x14ac:dyDescent="0.25">
      <c r="B81" s="127"/>
    </row>
    <row r="82" spans="2:2" x14ac:dyDescent="0.25">
      <c r="B82" s="127"/>
    </row>
    <row r="83" spans="2:2" x14ac:dyDescent="0.25">
      <c r="B83" s="127"/>
    </row>
    <row r="84" spans="2:2" x14ac:dyDescent="0.25">
      <c r="B84" s="127"/>
    </row>
    <row r="85" spans="2:2" x14ac:dyDescent="0.25">
      <c r="B85" s="127"/>
    </row>
    <row r="86" spans="2:2" x14ac:dyDescent="0.25">
      <c r="B86" s="127"/>
    </row>
    <row r="87" spans="2:2" x14ac:dyDescent="0.25">
      <c r="B87" s="127"/>
    </row>
  </sheetData>
  <mergeCells count="10">
    <mergeCell ref="B18:L18"/>
    <mergeCell ref="L4:L6"/>
    <mergeCell ref="F6:H6"/>
    <mergeCell ref="I6:K6"/>
    <mergeCell ref="B4:B6"/>
    <mergeCell ref="C4:C6"/>
    <mergeCell ref="E4:E6"/>
    <mergeCell ref="F4:H4"/>
    <mergeCell ref="I4:K4"/>
    <mergeCell ref="D4:D6"/>
  </mergeCells>
  <conditionalFormatting sqref="L17">
    <cfRule type="cellIs" dxfId="6" priority="2" operator="equal">
      <formula>0.07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Drop Down 1">
              <controlPr defaultSize="0" autoLine="0" autoPict="0">
                <anchor moveWithCells="1">
                  <from>
                    <xdr:col>2</xdr:col>
                    <xdr:colOff>533400</xdr:colOff>
                    <xdr:row>0</xdr:row>
                    <xdr:rowOff>152400</xdr:rowOff>
                  </from>
                  <to>
                    <xdr:col>5</xdr:col>
                    <xdr:colOff>525780</xdr:colOff>
                    <xdr:row>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5" name="Drop Down 4">
              <controlPr defaultSize="0" autoLine="0" autoPict="0">
                <anchor moveWithCells="1">
                  <from>
                    <xdr:col>9</xdr:col>
                    <xdr:colOff>152400</xdr:colOff>
                    <xdr:row>0</xdr:row>
                    <xdr:rowOff>22860</xdr:rowOff>
                  </from>
                  <to>
                    <xdr:col>10</xdr:col>
                    <xdr:colOff>480060</xdr:colOff>
                    <xdr:row>1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53"/>
  <sheetViews>
    <sheetView zoomScale="80" zoomScaleNormal="80" workbookViewId="0">
      <selection activeCell="B1" sqref="B1"/>
    </sheetView>
  </sheetViews>
  <sheetFormatPr defaultColWidth="8.88671875" defaultRowHeight="13.2" x14ac:dyDescent="0.25"/>
  <cols>
    <col min="1" max="1" width="4" style="29" customWidth="1"/>
    <col min="2" max="2" width="24.44140625" style="29" customWidth="1"/>
    <col min="3" max="3" width="13.109375" style="29" bestFit="1" customWidth="1"/>
    <col min="4" max="4" width="11.6640625" style="29" bestFit="1" customWidth="1"/>
    <col min="5" max="5" width="13" style="29" customWidth="1"/>
    <col min="6" max="6" width="13.33203125" style="29" customWidth="1"/>
    <col min="7" max="7" width="11.109375" style="29" customWidth="1"/>
    <col min="8" max="8" width="12.109375" style="29" customWidth="1"/>
    <col min="9" max="9" width="16" style="29" customWidth="1"/>
    <col min="10" max="10" width="18.5546875" style="29" customWidth="1"/>
    <col min="11" max="11" width="17.33203125" style="29" bestFit="1" customWidth="1"/>
    <col min="12" max="12" width="11.88671875" style="29" customWidth="1"/>
    <col min="13" max="13" width="12.109375" style="29" customWidth="1"/>
    <col min="14" max="14" width="11.88671875" style="29" customWidth="1"/>
    <col min="15" max="16" width="10.33203125" style="29" customWidth="1"/>
    <col min="17" max="20" width="11.6640625" style="29" customWidth="1"/>
    <col min="21" max="21" width="8.88671875" style="29" customWidth="1"/>
    <col min="22" max="16384" width="8.88671875" style="29"/>
  </cols>
  <sheetData>
    <row r="1" spans="2:21" x14ac:dyDescent="0.25">
      <c r="J1" s="30" t="str">
        <f>tech!J1</f>
        <v>UA</v>
      </c>
      <c r="K1" s="31" t="str">
        <f>IF($J$1="ENG","Змінити мову тут","Change language here")</f>
        <v>Change language here</v>
      </c>
    </row>
    <row r="2" spans="2:21" x14ac:dyDescent="0.25">
      <c r="B2" s="58" t="str">
        <f>IF($J$1="ENG","Stress test results (compared to 2021 results)","Результати стрес-тестування банку (порівняння з 2021 роком)")</f>
        <v>Результати стрес-тестування банку (порівняння з 2021 роком)</v>
      </c>
      <c r="I2" s="29">
        <v>22</v>
      </c>
      <c r="J2" s="29" t="str">
        <f>IFERROR(INDEX(tech!$I$4:$I$24,'Comparison with 2021'!I2,1),"")</f>
        <v/>
      </c>
      <c r="K2" s="29" t="str">
        <f>IFERROR(INDEX(tech!$B$4:$B$24,I2,1),"")</f>
        <v/>
      </c>
    </row>
    <row r="3" spans="2:21" x14ac:dyDescent="0.25">
      <c r="B3" s="36"/>
      <c r="C3" s="51"/>
      <c r="D3" s="51"/>
      <c r="E3" s="51"/>
      <c r="F3" s="51"/>
      <c r="G3" s="51"/>
      <c r="H3" s="51"/>
      <c r="I3" s="51"/>
      <c r="K3" s="51"/>
      <c r="L3" s="37" t="s">
        <v>65</v>
      </c>
      <c r="M3" s="59"/>
      <c r="N3" s="59"/>
      <c r="O3" s="59"/>
      <c r="P3" s="59"/>
      <c r="Q3" s="59"/>
      <c r="R3" s="59"/>
      <c r="S3" s="59"/>
      <c r="T3" s="59"/>
    </row>
    <row r="4" spans="2:21" ht="18" customHeight="1" x14ac:dyDescent="0.25">
      <c r="B4" s="189" t="str">
        <f>IF($J$1="ENG","Indicator","Показник")</f>
        <v>Показник</v>
      </c>
      <c r="C4" s="189" t="str">
        <f>IFERROR(J2,"")</f>
        <v/>
      </c>
      <c r="D4" s="189"/>
      <c r="E4" s="189"/>
      <c r="F4" s="189"/>
      <c r="G4" s="189"/>
      <c r="H4" s="189"/>
      <c r="I4" s="189"/>
      <c r="J4" s="189"/>
      <c r="K4" s="189"/>
      <c r="L4" s="89"/>
      <c r="M4" s="59"/>
      <c r="N4" s="59"/>
      <c r="O4" s="59"/>
      <c r="P4" s="59"/>
      <c r="Q4" s="59"/>
      <c r="R4" s="59"/>
      <c r="S4" s="59"/>
      <c r="T4" s="59"/>
    </row>
    <row r="5" spans="2:21" ht="15.6" customHeight="1" x14ac:dyDescent="0.25">
      <c r="B5" s="183"/>
      <c r="C5" s="191" t="str">
        <f>IF($J$1="ENG","2025 stress test","стрес-тестування 2025 року")</f>
        <v>стрес-тестування 2025 року</v>
      </c>
      <c r="D5" s="191"/>
      <c r="E5" s="191"/>
      <c r="F5" s="191"/>
      <c r="G5" s="191"/>
      <c r="H5" s="191"/>
      <c r="I5" s="191" t="str">
        <f>IF($J$1="ENG","2021 stress test","стрес-тестування 2021 року")</f>
        <v>стрес-тестування 2021 року</v>
      </c>
      <c r="J5" s="191"/>
      <c r="K5" s="191"/>
      <c r="L5" s="191"/>
      <c r="M5" s="53"/>
      <c r="N5" s="53"/>
      <c r="O5" s="59"/>
      <c r="P5" s="59"/>
      <c r="Q5" s="53"/>
      <c r="R5" s="53"/>
      <c r="S5" s="59"/>
      <c r="T5" s="59"/>
    </row>
    <row r="6" spans="2:21" ht="52.5" customHeight="1" x14ac:dyDescent="0.25">
      <c r="B6" s="190"/>
      <c r="C6" s="70" t="str">
        <f>tech!U4</f>
        <v>ОК1, млн грн</v>
      </c>
      <c r="D6" s="70" t="str">
        <f>tech!U5</f>
        <v>К1, млн грн</v>
      </c>
      <c r="E6" s="70" t="str">
        <f>tech!U6</f>
        <v>РК, млн грн</v>
      </c>
      <c r="F6" s="70" t="str">
        <f>tech!U7</f>
        <v>НРК</v>
      </c>
      <c r="G6" s="70" t="str">
        <f>tech!U8</f>
        <v>НК1</v>
      </c>
      <c r="H6" s="70" t="str">
        <f>tech!U9</f>
        <v>НОК1</v>
      </c>
      <c r="I6" s="70" t="str">
        <f>IF($J$1="ENG","Core capital, UAH mln","ОК, млн грн")</f>
        <v>ОК, млн грн</v>
      </c>
      <c r="J6" s="70" t="str">
        <f>IF($J$1="ENG","Regulatory capital, UAH mln","РК, млн грн")</f>
        <v>РК, млн грн</v>
      </c>
      <c r="K6" s="70" t="str">
        <f>IF($J$1="ENG","CAR","Н2")</f>
        <v>Н2</v>
      </c>
      <c r="L6" s="70" t="str">
        <f>IF($J$1="ENG","Core capital ratio","Н3")</f>
        <v>Н3</v>
      </c>
      <c r="M6" s="53"/>
      <c r="N6" s="53"/>
      <c r="O6" s="59"/>
      <c r="P6" s="59"/>
      <c r="Q6" s="53"/>
      <c r="R6" s="53"/>
      <c r="S6" s="59"/>
      <c r="T6" s="59"/>
    </row>
    <row r="7" spans="2:21" x14ac:dyDescent="0.25">
      <c r="B7" s="60" t="str">
        <f>IF($J$1="ENG","Adjusted bank's data","Cкориговані дані банку ")</f>
        <v xml:space="preserve">Cкориговані дані банку </v>
      </c>
      <c r="C7" s="78" t="str">
        <f>IFERROR(INDEX('Data table'!$B$10:$CB$30,MATCH($K$2,'Data table'!$B$10:$B$30,0),MATCH(12,'Data table'!$B$3:$CB$3,0)),"")</f>
        <v/>
      </c>
      <c r="D7" s="78" t="str">
        <f>IFERROR(INDEX('Data table'!$B$10:$CB$30,MATCH($K$2,'Data table'!$B$10:$B$30,0),MATCH(13,'Data table'!$B$3:$CB$3,0)),"")</f>
        <v/>
      </c>
      <c r="E7" s="78" t="str">
        <f>IFERROR(INDEX('Data table'!$B$10:$CB$30,MATCH($K$2,'Data table'!$B$10:$B$30,0),MATCH(14,'Data table'!$B$3:$CB$3,0)),"")</f>
        <v/>
      </c>
      <c r="F7" s="79" t="str">
        <f>IFERROR(INDEX('Data table'!$B$10:$CB$30,MATCH($K$2,'Data table'!$B$10:$B$30,0),MATCH(15,'Data table'!$B$3:$CB$3,0)),"")</f>
        <v/>
      </c>
      <c r="G7" s="79" t="str">
        <f>IFERROR(INDEX('Data table'!$B$10:$CB$30,MATCH($K$2,'Data table'!$B$10:$B$30,0),MATCH(16,'Data table'!$B$3:$CB$3,0)),"")</f>
        <v/>
      </c>
      <c r="H7" s="79" t="str">
        <f>IFERROR(INDEX('Data table'!$B$10:$CB$30,MATCH($K$2,'Data table'!$B$10:$B$30,0),MATCH(17,'Data table'!$B$3:$CB$3,0)),"")</f>
        <v/>
      </c>
      <c r="I7" s="78" t="str">
        <f>IFERROR(INDEX('2021 data table'!$B$10:$BA$39,MATCH($K$2,'2021 data table'!$B$10:$B$39,0),4),"")</f>
        <v/>
      </c>
      <c r="J7" s="78" t="str">
        <f>IFERROR(INDEX('2021 data table'!$B$10:$BA$39,MATCH($K$2,'2021 data table'!$B$10:$B$39,0),5),"")</f>
        <v/>
      </c>
      <c r="K7" s="79" t="str">
        <f>IFERROR(INDEX('2021 data table'!$B$10:$BA$39,MATCH($K$2,'2021 data table'!$B$10:$B$39,0),6),"")</f>
        <v/>
      </c>
      <c r="L7" s="79" t="str">
        <f>IFERROR(INDEX('2021 data table'!$B$10:$BA$39,MATCH($K$2,'2021 data table'!$B$10:$B$39,0),7),"")</f>
        <v/>
      </c>
      <c r="M7" s="53"/>
      <c r="N7" s="53"/>
      <c r="O7" s="59"/>
      <c r="P7" s="59"/>
      <c r="Q7" s="59"/>
      <c r="R7" s="59"/>
      <c r="S7" s="59"/>
      <c r="T7" s="59"/>
      <c r="U7" s="59"/>
    </row>
    <row r="8" spans="2:21" x14ac:dyDescent="0.25">
      <c r="B8" s="62" t="str">
        <f>IF($J$1="ENG","AQR as of 1 Jan ","AQR на 01 січня")</f>
        <v>AQR на 01 січня</v>
      </c>
      <c r="C8" s="63" t="str">
        <f>IFERROR(INDEX('Data table'!$B$10:$CB$30,MATCH($K$2,'Data table'!$B$10:$B$30,0),MATCH(20,'Data table'!$B$3:$CB$3,0)),"")</f>
        <v/>
      </c>
      <c r="D8" s="63" t="str">
        <f>IFERROR(INDEX('Data table'!$B$10:$CB$30,MATCH($K$2,'Data table'!$B$10:$B$30,0),MATCH(21,'Data table'!$B$3:$CB$3,0)),"")</f>
        <v/>
      </c>
      <c r="E8" s="63" t="str">
        <f>IFERROR(INDEX('Data table'!$B$10:$CB$30,MATCH($K$2,'Data table'!$B$10:$B$30,0),MATCH(22,'Data table'!$B$3:$CB$3,0)),"")</f>
        <v/>
      </c>
      <c r="F8" s="61" t="str">
        <f>IFERROR(INDEX('Data table'!$B$10:$CB$30,MATCH($K$2,'Data table'!$B$10:$B$30,0),MATCH(23,'Data table'!$B$3:$CB$3,0)),"")</f>
        <v/>
      </c>
      <c r="G8" s="61" t="str">
        <f>IFERROR(INDEX('Data table'!$B$10:$CB$30,MATCH($K$2,'Data table'!$B$10:$B$30,0),MATCH(24,'Data table'!$B$3:$CB$3,0)),"")</f>
        <v/>
      </c>
      <c r="H8" s="61" t="str">
        <f>IFERROR(INDEX('Data table'!$B$10:$CB$30,MATCH($K$2,'Data table'!$B$10:$B$30,0),MATCH(25,'Data table'!$B$3:$CB$3,0)),"")</f>
        <v/>
      </c>
      <c r="I8" s="63" t="str">
        <f>IFERROR(INDEX('2021 data table'!$B$10:$BA$39,MATCH($K$2,'2021 data table'!$B$10:$B$39,0),10),"")</f>
        <v/>
      </c>
      <c r="J8" s="63" t="str">
        <f>IFERROR(INDEX('2021 data table'!$B$10:$BA$39,MATCH($K$2,'2021 data table'!$B$10:$B$39,0),11),"")</f>
        <v/>
      </c>
      <c r="K8" s="61" t="str">
        <f>IFERROR(INDEX('2021 data table'!$B$10:$BA$39,MATCH($K$2,'2021 data table'!$B$10:$B$39,0),12),"")</f>
        <v/>
      </c>
      <c r="L8" s="61" t="str">
        <f>IFERROR(INDEX('2021 data table'!$B$10:$BA$39,MATCH($K$2,'2021 data table'!$B$10:$B$39,0),13),"")</f>
        <v/>
      </c>
      <c r="M8" s="53"/>
      <c r="N8" s="53"/>
      <c r="O8" s="59"/>
      <c r="P8" s="59"/>
      <c r="Q8" s="59"/>
      <c r="R8" s="59"/>
      <c r="S8" s="59"/>
      <c r="T8" s="59"/>
      <c r="U8" s="59"/>
    </row>
    <row r="9" spans="2:21" x14ac:dyDescent="0.25">
      <c r="B9" s="64" t="str">
        <f>IF($J$1="ENG","Forecast year","Прогнозний рік")</f>
        <v>Прогнозний рік</v>
      </c>
      <c r="C9" s="186" t="str">
        <f>IF($J$1="ENG","Baseline scenario","За базовим макроекономічним сценарієм")</f>
        <v>За базовим макроекономічним сценарієм</v>
      </c>
      <c r="D9" s="187"/>
      <c r="E9" s="187"/>
      <c r="F9" s="187"/>
      <c r="G9" s="187"/>
      <c r="H9" s="187"/>
      <c r="I9" s="187"/>
      <c r="J9" s="187"/>
      <c r="K9" s="187"/>
      <c r="L9" s="188"/>
      <c r="M9" s="53"/>
      <c r="N9" s="53"/>
      <c r="O9" s="59"/>
      <c r="P9" s="59"/>
      <c r="Q9" s="59"/>
      <c r="R9" s="59"/>
      <c r="S9" s="59"/>
      <c r="T9" s="59"/>
      <c r="U9" s="59"/>
    </row>
    <row r="10" spans="2:21" x14ac:dyDescent="0.25">
      <c r="B10" s="65" t="str">
        <f>IF($J$1="ENG","1st year","1-й рік")</f>
        <v>1-й рік</v>
      </c>
      <c r="C10" s="63" t="str">
        <f>IFERROR(INDEX('Data table'!$B$10:$CB$30,MATCH($K$2,'Data table'!$B$10:$B$30,0),MATCH(27,'Data table'!$B$3:$CB$3,0)),"")</f>
        <v/>
      </c>
      <c r="D10" s="63" t="str">
        <f>IFERROR(INDEX('Data table'!$B$10:$CB$30,MATCH($K$2,'Data table'!$B$10:$B$30,0),MATCH(30,'Data table'!$B$3:$CB$3,0)),"")</f>
        <v/>
      </c>
      <c r="E10" s="63" t="str">
        <f>IFERROR(INDEX('Data table'!$B$10:$CB$30,MATCH($K$2,'Data table'!$B$10:$B$30,0),MATCH(33,'Data table'!$B$3:$CB$3,0)),"")</f>
        <v/>
      </c>
      <c r="F10" s="61" t="str">
        <f>IFERROR(INDEX('Data table'!$B$10:$CB$30,MATCH($K$2,'Data table'!$B$10:$B$30,0),MATCH(36,'Data table'!$B$3:$CB$3,0)),"")</f>
        <v/>
      </c>
      <c r="G10" s="61" t="str">
        <f>IFERROR(INDEX('Data table'!$B$10:$CB$30,MATCH($K$2,'Data table'!$B$10:$B$30,0),MATCH(39,'Data table'!$B$3:$CB$3,0)),"")</f>
        <v/>
      </c>
      <c r="H10" s="61" t="str">
        <f>IFERROR(INDEX('Data table'!$B$10:$CB$30,MATCH($K$2,'Data table'!$B$10:$B$30,0),MATCH(42,'Data table'!$B$3:$CB$3,0)),"")</f>
        <v/>
      </c>
      <c r="I10" s="63" t="str">
        <f>IFERROR(INDEX('2021 data table'!$B$10:$BA$39,MATCH($K$2,'2021 data table'!$B$10:$B$39,0),15),"")</f>
        <v/>
      </c>
      <c r="J10" s="63" t="str">
        <f>IFERROR(INDEX('2021 data table'!$B$10:$BA$39,MATCH($K$2,'2021 data table'!$B$10:$B$39,0),18),"")</f>
        <v/>
      </c>
      <c r="K10" s="61" t="str">
        <f>IFERROR(INDEX('2021 data table'!$B$10:$BA$39,MATCH($K$2,'2021 data table'!$B$10:$B$39,0),21),"")</f>
        <v/>
      </c>
      <c r="L10" s="61" t="str">
        <f>IFERROR(INDEX('2021 data table'!$B$10:$BA$39,MATCH($K$2,'2021 data table'!$B$10:$B$39,0),24),"")</f>
        <v/>
      </c>
      <c r="M10" s="53"/>
      <c r="N10" s="53"/>
      <c r="O10" s="119"/>
      <c r="P10" s="59"/>
      <c r="Q10" s="59"/>
      <c r="R10" s="59"/>
      <c r="S10" s="59"/>
      <c r="T10" s="59"/>
      <c r="U10" s="59"/>
    </row>
    <row r="11" spans="2:21" x14ac:dyDescent="0.25">
      <c r="B11" s="65" t="str">
        <f>IF($J$1="ENG","2nd year","2-й рік")</f>
        <v>2-й рік</v>
      </c>
      <c r="C11" s="63" t="str">
        <f>IFERROR(INDEX('Data table'!$B$10:$CB$30,MATCH($K$2,'Data table'!$B$10:$B$30,0),MATCH(28,'Data table'!$B$3:$CB$3,0)),"")</f>
        <v/>
      </c>
      <c r="D11" s="63" t="str">
        <f>IFERROR(INDEX('Data table'!$B$10:$CB$30,MATCH($K$2,'Data table'!$B$10:$B$30,0),MATCH(31,'Data table'!$B$3:$CB$3,0)),"")</f>
        <v/>
      </c>
      <c r="E11" s="63" t="str">
        <f>IFERROR(INDEX('Data table'!$B$10:$CB$30,MATCH($K$2,'Data table'!$B$10:$B$30,0),MATCH(34,'Data table'!$B$3:$CB$3,0)),"")</f>
        <v/>
      </c>
      <c r="F11" s="61" t="str">
        <f>IFERROR(INDEX('Data table'!$B$10:$CB$30,MATCH($K$2,'Data table'!$B$10:$B$30,0),MATCH(37,'Data table'!$B$3:$CB$3,0)),"")</f>
        <v/>
      </c>
      <c r="G11" s="61" t="str">
        <f>IFERROR(INDEX('Data table'!$B$10:$CB$30,MATCH($K$2,'Data table'!$B$10:$B$30,0),MATCH(40,'Data table'!$B$3:$CB$3,0)),"")</f>
        <v/>
      </c>
      <c r="H11" s="61" t="str">
        <f>IFERROR(INDEX('Data table'!$B$10:$CB$30,MATCH($K$2,'Data table'!$B$10:$B$30,0),MATCH(43,'Data table'!$B$3:$CB$3,0)),"")</f>
        <v/>
      </c>
      <c r="I11" s="63" t="str">
        <f>IFERROR(INDEX('2021 data table'!$B$10:$BA$39,MATCH($K$2,'2021 data table'!$B$10:$B$39,0),16),"")</f>
        <v/>
      </c>
      <c r="J11" s="63" t="str">
        <f>IFERROR(INDEX('2021 data table'!$B$10:$BA$39,MATCH($K$2,'2021 data table'!$B$10:$B$39,0),19),"")</f>
        <v/>
      </c>
      <c r="K11" s="61" t="str">
        <f>IFERROR(INDEX('2021 data table'!$B$10:$BA$39,MATCH($K$2,'2021 data table'!$B$10:$B$39,0),22),"")</f>
        <v/>
      </c>
      <c r="L11" s="61" t="str">
        <f>IFERROR(INDEX('2021 data table'!$B$10:$BA$39,MATCH($K$2,'2021 data table'!$B$10:$B$39,0),25),"")</f>
        <v/>
      </c>
      <c r="M11" s="53"/>
      <c r="N11" s="53"/>
      <c r="O11" s="59"/>
      <c r="P11" s="59"/>
      <c r="Q11" s="59"/>
      <c r="R11" s="59"/>
      <c r="S11" s="59"/>
      <c r="T11" s="59"/>
      <c r="U11" s="59"/>
    </row>
    <row r="12" spans="2:21" x14ac:dyDescent="0.25">
      <c r="B12" s="65" t="str">
        <f>IF($J$1="ENG","3rd year","3-й рік")</f>
        <v>3-й рік</v>
      </c>
      <c r="C12" s="63" t="str">
        <f>IFERROR(INDEX('Data table'!$B$10:$CB$30,MATCH($K$2,'Data table'!$B$10:$B$30,0),MATCH(29,'Data table'!$B$3:$CB$3,0)),"")</f>
        <v/>
      </c>
      <c r="D12" s="63" t="str">
        <f>IFERROR(INDEX('Data table'!$B$10:$CB$30,MATCH($K$2,'Data table'!$B$10:$B$30,0),MATCH(32,'Data table'!$B$3:$CB$3,0)),"")</f>
        <v/>
      </c>
      <c r="E12" s="63" t="str">
        <f>IFERROR(INDEX('Data table'!$B$10:$CB$30,MATCH($K$2,'Data table'!$B$10:$B$30,0),MATCH(35,'Data table'!$B$3:$CB$3,0)),"")</f>
        <v/>
      </c>
      <c r="F12" s="61" t="str">
        <f>IFERROR(INDEX('Data table'!$B$10:$CB$30,MATCH($K$2,'Data table'!$B$10:$B$30,0),MATCH(38,'Data table'!$B$3:$CB$3,0)),"")</f>
        <v/>
      </c>
      <c r="G12" s="61" t="str">
        <f>IFERROR(INDEX('Data table'!$B$10:$CB$30,MATCH($K$2,'Data table'!$B$10:$B$30,0),MATCH(41,'Data table'!$B$3:$CB$3,0)),"")</f>
        <v/>
      </c>
      <c r="H12" s="61" t="str">
        <f>IFERROR(INDEX('Data table'!$B$10:$CB$30,MATCH($K$2,'Data table'!$B$10:$B$30,0),MATCH(44,'Data table'!$B$3:$CB$3,0)),"")</f>
        <v/>
      </c>
      <c r="I12" s="63" t="str">
        <f>IFERROR(INDEX('2021 data table'!$B$10:$BA$39,MATCH($K$2,'2021 data table'!$B$10:$B$39,0),17),"")</f>
        <v/>
      </c>
      <c r="J12" s="63" t="str">
        <f>IFERROR(INDEX('2021 data table'!$B$10:$BA$39,MATCH($K$2,'2021 data table'!$B$10:$B$39,0),20),"")</f>
        <v/>
      </c>
      <c r="K12" s="61" t="str">
        <f>IFERROR(INDEX('2021 data table'!$B$10:$BA$39,MATCH($K$2,'2021 data table'!$B$10:$B$39,0),23),"")</f>
        <v/>
      </c>
      <c r="L12" s="61" t="str">
        <f>IFERROR(INDEX('2021 data table'!$B$10:$BA$39,MATCH($K$2,'2021 data table'!$B$10:$B$39,0),26),"")</f>
        <v/>
      </c>
      <c r="M12" s="53"/>
      <c r="N12" s="53"/>
      <c r="O12" s="59"/>
      <c r="P12" s="59"/>
      <c r="Q12" s="59"/>
      <c r="R12" s="59"/>
      <c r="S12" s="59"/>
      <c r="T12" s="59"/>
      <c r="U12" s="59"/>
    </row>
    <row r="13" spans="2:21" ht="13.2" customHeight="1" x14ac:dyDescent="0.25">
      <c r="B13" s="64" t="str">
        <f>IF($J$1="ENG","Forecast year","Прогнозний рік")</f>
        <v>Прогнозний рік</v>
      </c>
      <c r="C13" s="186" t="str">
        <f>IF($J$1="ENG","Adverse scenario","За несприятливим макроекономічним сценарієм")</f>
        <v>За несприятливим макроекономічним сценарієм</v>
      </c>
      <c r="D13" s="187"/>
      <c r="E13" s="187"/>
      <c r="F13" s="187"/>
      <c r="G13" s="187"/>
      <c r="H13" s="187"/>
      <c r="I13" s="187"/>
      <c r="J13" s="187"/>
      <c r="K13" s="187"/>
      <c r="L13" s="188"/>
      <c r="M13" s="53"/>
      <c r="N13" s="53"/>
      <c r="O13" s="59"/>
      <c r="P13" s="59"/>
      <c r="Q13" s="59"/>
      <c r="R13" s="59"/>
      <c r="S13" s="59"/>
      <c r="T13" s="59"/>
      <c r="U13" s="59"/>
    </row>
    <row r="14" spans="2:21" ht="14.4" customHeight="1" x14ac:dyDescent="0.25">
      <c r="B14" s="65" t="str">
        <f>IF($J$1="ENG","1st year","1-й рік")</f>
        <v>1-й рік</v>
      </c>
      <c r="C14" s="63" t="str">
        <f>IFERROR(INDEX('Data table'!$B$10:$CB$30,MATCH($K$2,'Data table'!$B$10:$B$30,0),MATCH(48,'Data table'!$B$3:$CB$3,0)),"")</f>
        <v/>
      </c>
      <c r="D14" s="63" t="str">
        <f>IFERROR(INDEX('Data table'!$B$10:$CB$30,MATCH($K$2,'Data table'!$B$10:$B$30,0),MATCH(51,'Data table'!$B$3:$CB$3,0)),"")</f>
        <v/>
      </c>
      <c r="E14" s="63" t="str">
        <f>IFERROR(INDEX('Data table'!$B$10:$CB$30,MATCH($K$2,'Data table'!$B$10:$B$30,0),MATCH(54,'Data table'!$B$3:$CB$3,0)),"")</f>
        <v/>
      </c>
      <c r="F14" s="61" t="str">
        <f>IFERROR(INDEX('Data table'!$B$10:$CB$30,MATCH($K$2,'Data table'!$B$10:$B$30,0),MATCH(57,'Data table'!$B$3:$CB$3,0)),"")</f>
        <v/>
      </c>
      <c r="G14" s="61" t="str">
        <f>IFERROR(INDEX('Data table'!$B$10:$CB$30,MATCH($K$2,'Data table'!$B$10:$B$30,0),MATCH(60,'Data table'!$B$3:$CB$3,0)),"")</f>
        <v/>
      </c>
      <c r="H14" s="61" t="str">
        <f>IFERROR(INDEX('Data table'!$B$10:$CB$30,MATCH($K$2,'Data table'!$B$10:$B$30,0),MATCH(63,'Data table'!$B$3:$CB$3,0)),"")</f>
        <v/>
      </c>
      <c r="I14" s="66" t="str">
        <f>IFERROR(INDEX('2021 data table'!$B$10:$BA$39,MATCH($K$2,'2021 data table'!$B$10:$B$39,0),30),"")</f>
        <v/>
      </c>
      <c r="J14" s="66" t="str">
        <f>IFERROR(INDEX('2021 data table'!$B$10:$BA$39,MATCH($K$2,'2021 data table'!$B$10:$B$39,0),33),"")</f>
        <v/>
      </c>
      <c r="K14" s="61" t="str">
        <f>IFERROR(INDEX('2021 data table'!$B$10:$BA$39,MATCH($K$2,'2021 data table'!$B$10:$B$39,0),36),"")</f>
        <v/>
      </c>
      <c r="L14" s="61" t="str">
        <f>IFERROR(INDEX('2021 data table'!$B$10:$BA$39,MATCH($K$2,'2021 data table'!$B$10:$B$39,0),39),"")</f>
        <v/>
      </c>
      <c r="M14" s="53"/>
      <c r="N14" s="53"/>
      <c r="O14" s="59"/>
      <c r="P14" s="59"/>
      <c r="Q14" s="59"/>
      <c r="R14" s="59"/>
      <c r="S14" s="59"/>
      <c r="T14" s="59"/>
      <c r="U14" s="59"/>
    </row>
    <row r="15" spans="2:21" x14ac:dyDescent="0.25">
      <c r="B15" s="65" t="str">
        <f>IF($J$1="ENG","2nd year","2-й рік")</f>
        <v>2-й рік</v>
      </c>
      <c r="C15" s="63" t="str">
        <f>IFERROR(INDEX('Data table'!$B$10:$CB$30,MATCH($K$2,'Data table'!$B$10:$B$30,0),MATCH(49,'Data table'!$B$3:$CB$3,0)),"")</f>
        <v/>
      </c>
      <c r="D15" s="63" t="str">
        <f>IFERROR(INDEX('Data table'!$B$10:$CB$30,MATCH($K$2,'Data table'!$B$10:$B$30,0),MATCH(52,'Data table'!$B$3:$CB$3,0)),"")</f>
        <v/>
      </c>
      <c r="E15" s="63" t="str">
        <f>IFERROR(INDEX('Data table'!$B$10:$CB$30,MATCH($K$2,'Data table'!$B$10:$B$30,0),MATCH(55,'Data table'!$B$3:$CB$3,0)),"")</f>
        <v/>
      </c>
      <c r="F15" s="61" t="str">
        <f>IFERROR(INDEX('Data table'!$B$10:$CB$30,MATCH($K$2,'Data table'!$B$10:$B$30,0),MATCH(58,'Data table'!$B$3:$CB$3,0)),"")</f>
        <v/>
      </c>
      <c r="G15" s="61" t="str">
        <f>IFERROR(INDEX('Data table'!$B$10:$CB$30,MATCH($K$2,'Data table'!$B$10:$B$30,0),MATCH(61,'Data table'!$B$3:$CB$3,0)),"")</f>
        <v/>
      </c>
      <c r="H15" s="61" t="str">
        <f>IFERROR(INDEX('Data table'!$B$10:$CB$30,MATCH($K$2,'Data table'!$B$10:$B$30,0),MATCH(64,'Data table'!$B$3:$CB$3,0)),"")</f>
        <v/>
      </c>
      <c r="I15" s="66" t="str">
        <f>IFERROR(INDEX('2021 data table'!$B$10:$BA$39,MATCH($K$2,'2021 data table'!$B$10:$B$39,0),31),"")</f>
        <v/>
      </c>
      <c r="J15" s="66" t="str">
        <f>IFERROR(INDEX('2021 data table'!$B$10:$BA$39,MATCH($K$2,'2021 data table'!$B$10:$B$39,0),34),"")</f>
        <v/>
      </c>
      <c r="K15" s="61" t="str">
        <f>IFERROR(INDEX('2021 data table'!$B$10:$BA$39,MATCH($K$2,'2021 data table'!$B$10:$B$39,0),37),"")</f>
        <v/>
      </c>
      <c r="L15" s="61" t="str">
        <f>IFERROR(INDEX('2021 data table'!$B$10:$BA$39,MATCH($K$2,'2021 data table'!$B$10:$B$39,0),40),"")</f>
        <v/>
      </c>
      <c r="M15" s="53"/>
      <c r="N15" s="53"/>
      <c r="O15" s="59"/>
      <c r="P15" s="59"/>
      <c r="Q15" s="59"/>
      <c r="R15" s="59"/>
      <c r="S15" s="59"/>
      <c r="T15" s="59"/>
      <c r="U15" s="59"/>
    </row>
    <row r="16" spans="2:21" x14ac:dyDescent="0.25">
      <c r="B16" s="65" t="str">
        <f>IF($J$1="ENG","3rd year","3-й рік")</f>
        <v>3-й рік</v>
      </c>
      <c r="C16" s="63" t="str">
        <f>IFERROR(INDEX('Data table'!$B$10:$CB$30,MATCH($K$2,'Data table'!$B$10:$B$30,0),MATCH(50,'Data table'!$B$3:$CB$3,0)),"")</f>
        <v/>
      </c>
      <c r="D16" s="63" t="str">
        <f>IFERROR(INDEX('Data table'!$B$10:$CB$30,MATCH($K$2,'Data table'!$B$10:$B$30,0),MATCH(53,'Data table'!$B$3:$CB$3,0)),"")</f>
        <v/>
      </c>
      <c r="E16" s="63" t="str">
        <f>IFERROR(INDEX('Data table'!$B$10:$CB$30,MATCH($K$2,'Data table'!$B$10:$B$30,0),MATCH(56,'Data table'!$B$3:$CB$3,0)),"")</f>
        <v/>
      </c>
      <c r="F16" s="61" t="str">
        <f>IFERROR(INDEX('Data table'!$B$10:$CB$30,MATCH($K$2,'Data table'!$B$10:$B$30,0),MATCH(59,'Data table'!$B$3:$CB$3,0)),"")</f>
        <v/>
      </c>
      <c r="G16" s="61" t="str">
        <f>IFERROR(INDEX('Data table'!$B$10:$CB$30,MATCH($K$2,'Data table'!$B$10:$B$30,0),MATCH(62,'Data table'!$B$3:$CB$3,0)),"")</f>
        <v/>
      </c>
      <c r="H16" s="61" t="str">
        <f>IFERROR(INDEX('Data table'!$B$10:$CB$30,MATCH($K$2,'Data table'!$B$10:$B$30,0),MATCH(65,'Data table'!$B$3:$CB$3,0)),"")</f>
        <v/>
      </c>
      <c r="I16" s="66" t="str">
        <f>IFERROR(INDEX('2021 data table'!$B$10:$BA$39,MATCH($K$2,'2021 data table'!$B$10:$B$39,0),32),"")</f>
        <v/>
      </c>
      <c r="J16" s="66" t="str">
        <f>IFERROR(INDEX('2021 data table'!$B$10:$BA$39,MATCH($K$2,'2021 data table'!$B$10:$B$39,0),35),"")</f>
        <v/>
      </c>
      <c r="K16" s="61" t="str">
        <f>IFERROR(INDEX('2021 data table'!$B$10:$BA$39,MATCH($K$2,'2021 data table'!$B$10:$B$39,0),38),"")</f>
        <v/>
      </c>
      <c r="L16" s="61" t="str">
        <f>IFERROR(INDEX('2021 data table'!$B$10:$BA$39,MATCH($K$2,'2021 data table'!$B$10:$B$39,0),41),"")</f>
        <v/>
      </c>
      <c r="M16" s="53"/>
      <c r="N16" s="53"/>
      <c r="O16" s="59"/>
      <c r="P16" s="59"/>
      <c r="Q16" s="59"/>
      <c r="R16" s="59"/>
      <c r="S16" s="59"/>
      <c r="T16" s="59"/>
      <c r="U16" s="59"/>
    </row>
    <row r="17" spans="2:20" ht="12" customHeight="1" x14ac:dyDescent="0.25">
      <c r="B17" s="52" t="str">
        <f>IF($J$1="ENG","AQR – data of asset quality review and collateral eligibility assessment for bank lending, including adjustments in the bank’s financial statements for the reporting year and extrapolation","AQR - 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екстраполяції")</f>
        <v>AQR - 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</v>
      </c>
      <c r="C17" s="67"/>
      <c r="D17" s="67"/>
      <c r="E17" s="67"/>
      <c r="F17" s="59"/>
      <c r="G17" s="59"/>
      <c r="H17" s="59"/>
      <c r="I17" s="53"/>
      <c r="J17" s="53"/>
      <c r="K17" s="59"/>
      <c r="L17" s="59"/>
      <c r="M17" s="53"/>
      <c r="N17" s="53"/>
      <c r="O17" s="59"/>
      <c r="P17" s="59"/>
      <c r="Q17" s="53"/>
      <c r="R17" s="53"/>
      <c r="S17" s="59"/>
      <c r="T17" s="59"/>
    </row>
    <row r="18" spans="2:20" ht="11.4" customHeight="1" x14ac:dyDescent="0.25">
      <c r="B18" s="52" t="str">
        <f>IF($J$1="ENG","The adjusted bank data reflect annual adjustments based on the results of the audit of the financial statements, as well as a retrospective increase in the corporate income tax rate from 25% to 50%.","Скориговані дані банків відображають річні коригування за результатами аудиту фінансової звітності та ретроспективне підвищення ставки податку на прибуток із 25% до 50%.")</f>
        <v>Скориговані дані банків відображають річні коригування за результатами аудиту фінансової звітності та ретроспективне підвищення ставки податку на прибуток із 25% до 50%.</v>
      </c>
      <c r="C18" s="67"/>
      <c r="D18" s="67"/>
      <c r="E18" s="67"/>
      <c r="F18" s="59"/>
      <c r="G18" s="59"/>
      <c r="L18" s="59"/>
      <c r="M18" s="53"/>
      <c r="N18" s="53"/>
      <c r="O18" s="59"/>
      <c r="P18" s="59"/>
      <c r="Q18" s="53"/>
      <c r="R18" s="53"/>
      <c r="S18" s="59"/>
      <c r="T18" s="59"/>
    </row>
    <row r="19" spans="2:20" ht="11.4" customHeight="1" x14ac:dyDescent="0.25">
      <c r="B19" s="96" t="str">
        <f>IF($J$1="ENG","","ОК - основний капітал, РК - регулятивний капітал, Н2 - норматив адекватності регулятивного капіталу, Н3 - норматив адекватності основного капіталу.")</f>
        <v>ОК - основний капітал, РК - регулятивний капітал, Н2 - норматив адекватності регулятивного капіталу, Н3 - норматив адекватності основного капіталу.</v>
      </c>
      <c r="C19" s="67"/>
      <c r="D19" s="67"/>
      <c r="E19" s="67"/>
      <c r="F19" s="59"/>
      <c r="G19" s="59"/>
      <c r="L19" s="59"/>
      <c r="M19" s="53"/>
      <c r="N19" s="53"/>
      <c r="O19" s="59"/>
      <c r="P19" s="59"/>
      <c r="Q19" s="53"/>
      <c r="R19" s="53"/>
      <c r="S19" s="59"/>
      <c r="T19" s="59"/>
    </row>
    <row r="20" spans="2:20" ht="23.4" customHeight="1" x14ac:dyDescent="0.25"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</row>
    <row r="21" spans="2:20" ht="13.2" customHeight="1" x14ac:dyDescent="0.25">
      <c r="B21" s="185" t="str">
        <f>IF($J$1="ENG","Tier I / Core capital, UAH mln","K1, млн грн / Основний капітал, млн грн")</f>
        <v>K1, млн грн / Основний капітал, млн грн</v>
      </c>
      <c r="C21" s="185"/>
      <c r="D21" s="185"/>
      <c r="E21" s="185"/>
      <c r="F21" s="185" t="str">
        <f>IF($J$1="ENG","Tier I / Core capital ratio","НK1 / Н3")</f>
        <v>НK1 / Н3</v>
      </c>
      <c r="G21" s="185"/>
      <c r="H21" s="185"/>
      <c r="I21" s="185"/>
      <c r="J21" s="185" t="str">
        <f>IF($J$1="ENG","Regulatory capital, UAH mln","Регулятивний капітал, млн грн")</f>
        <v>Регулятивний капітал, млн грн</v>
      </c>
      <c r="K21" s="185"/>
      <c r="L21" s="185"/>
      <c r="M21" s="185"/>
      <c r="N21" s="185" t="str">
        <f>IF($J$1="ENG","CAR/RC ratio","Норматив достатності регулятивного капіталу")</f>
        <v>Норматив достатності регулятивного капіталу</v>
      </c>
      <c r="O21" s="185"/>
      <c r="P21" s="185"/>
      <c r="Q21" s="185"/>
    </row>
    <row r="22" spans="2:20" x14ac:dyDescent="0.25"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</row>
    <row r="31" spans="2:20" x14ac:dyDescent="0.25">
      <c r="B31" s="72"/>
      <c r="C31" s="72"/>
      <c r="D31" s="72"/>
      <c r="E31" s="72"/>
    </row>
    <row r="33" spans="1:5" x14ac:dyDescent="0.25">
      <c r="A33" s="55"/>
    </row>
    <row r="34" spans="1:5" x14ac:dyDescent="0.25">
      <c r="A34" s="55"/>
    </row>
    <row r="35" spans="1:5" x14ac:dyDescent="0.25">
      <c r="A35" s="55"/>
    </row>
    <row r="36" spans="1:5" x14ac:dyDescent="0.25">
      <c r="A36" s="55"/>
    </row>
    <row r="37" spans="1:5" x14ac:dyDescent="0.25">
      <c r="A37" s="55"/>
    </row>
    <row r="38" spans="1:5" x14ac:dyDescent="0.25">
      <c r="A38" s="55"/>
    </row>
    <row r="39" spans="1:5" x14ac:dyDescent="0.25">
      <c r="A39" s="55"/>
    </row>
    <row r="40" spans="1:5" x14ac:dyDescent="0.25">
      <c r="A40" s="55"/>
    </row>
    <row r="41" spans="1:5" x14ac:dyDescent="0.25">
      <c r="A41" s="55"/>
      <c r="B41" s="72"/>
      <c r="C41" s="72"/>
      <c r="D41" s="72"/>
      <c r="E41" s="72"/>
    </row>
    <row r="42" spans="1:5" x14ac:dyDescent="0.25">
      <c r="A42" s="55"/>
      <c r="B42" s="72"/>
      <c r="C42" s="72"/>
      <c r="D42" s="72"/>
      <c r="E42" s="72"/>
    </row>
    <row r="43" spans="1:5" x14ac:dyDescent="0.25">
      <c r="A43" s="55"/>
      <c r="B43" s="55"/>
      <c r="C43" s="72"/>
      <c r="D43" s="72"/>
      <c r="E43" s="72"/>
    </row>
    <row r="44" spans="1:5" x14ac:dyDescent="0.25">
      <c r="B44" s="55" t="str">
        <f>CONCATENATE(C9," (",C5,")")</f>
        <v>За базовим макроекономічним сценарієм (стрес-тестування 2025 року)</v>
      </c>
      <c r="C44" s="72"/>
      <c r="D44" s="72"/>
      <c r="E44" s="72"/>
    </row>
    <row r="45" spans="1:5" x14ac:dyDescent="0.25">
      <c r="B45" s="55" t="str">
        <f>CONCATENATE(C13," (",C5,")")</f>
        <v>За несприятливим макроекономічним сценарієм (стрес-тестування 2025 року)</v>
      </c>
      <c r="C45" s="72"/>
      <c r="D45" s="72"/>
      <c r="E45" s="72"/>
    </row>
    <row r="46" spans="1:5" x14ac:dyDescent="0.25">
      <c r="B46" s="55" t="str">
        <f>CONCATENATE(C9," (",I5,")")</f>
        <v>За базовим макроекономічним сценарієм (стрес-тестування 2021 року)</v>
      </c>
      <c r="C46" s="72"/>
      <c r="D46" s="72"/>
      <c r="E46" s="72"/>
    </row>
    <row r="47" spans="1:5" x14ac:dyDescent="0.25">
      <c r="B47" s="55" t="str">
        <f>CONCATENATE(C13," (",I5,")")</f>
        <v>За несприятливим макроекономічним сценарієм (стрес-тестування 2021 року)</v>
      </c>
      <c r="C47" s="72"/>
      <c r="D47" s="72"/>
      <c r="E47" s="72"/>
    </row>
    <row r="48" spans="1:5" x14ac:dyDescent="0.25">
      <c r="B48" s="55"/>
      <c r="C48" s="72"/>
      <c r="D48" s="72"/>
      <c r="E48" s="72"/>
    </row>
    <row r="49" spans="2:5" x14ac:dyDescent="0.25">
      <c r="B49" s="72"/>
      <c r="C49" s="72"/>
      <c r="D49" s="72"/>
      <c r="E49" s="72"/>
    </row>
    <row r="50" spans="2:5" x14ac:dyDescent="0.25">
      <c r="B50" s="72"/>
      <c r="C50" s="72"/>
      <c r="D50" s="72"/>
      <c r="E50" s="72"/>
    </row>
    <row r="51" spans="2:5" x14ac:dyDescent="0.25">
      <c r="B51" s="72"/>
      <c r="C51" s="72"/>
      <c r="D51" s="72"/>
      <c r="E51" s="72"/>
    </row>
    <row r="52" spans="2:5" x14ac:dyDescent="0.25">
      <c r="B52" s="72"/>
      <c r="C52" s="72"/>
      <c r="D52" s="72"/>
      <c r="E52" s="72"/>
    </row>
    <row r="53" spans="2:5" x14ac:dyDescent="0.25">
      <c r="B53" s="72"/>
      <c r="C53" s="72"/>
      <c r="D53" s="72"/>
      <c r="E53" s="72"/>
    </row>
  </sheetData>
  <mergeCells count="11">
    <mergeCell ref="C13:L13"/>
    <mergeCell ref="B4:B6"/>
    <mergeCell ref="C4:K4"/>
    <mergeCell ref="C5:H5"/>
    <mergeCell ref="I5:L5"/>
    <mergeCell ref="C9:L9"/>
    <mergeCell ref="B20:T20"/>
    <mergeCell ref="B21:E22"/>
    <mergeCell ref="F21:I22"/>
    <mergeCell ref="J21:M22"/>
    <mergeCell ref="N21:Q22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Drop Down 1">
              <controlPr defaultSize="0" autoLine="0" autoPict="0">
                <anchor moveWithCells="1">
                  <from>
                    <xdr:col>8</xdr:col>
                    <xdr:colOff>914400</xdr:colOff>
                    <xdr:row>1</xdr:row>
                    <xdr:rowOff>38100</xdr:rowOff>
                  </from>
                  <to>
                    <xdr:col>11</xdr:col>
                    <xdr:colOff>30480</xdr:colOff>
                    <xdr:row>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5" name="Drop Down 4">
              <controlPr defaultSize="0" autoLine="0" autoPict="0">
                <anchor moveWithCells="1">
                  <from>
                    <xdr:col>8</xdr:col>
                    <xdr:colOff>914400</xdr:colOff>
                    <xdr:row>0</xdr:row>
                    <xdr:rowOff>0</xdr:rowOff>
                  </from>
                  <to>
                    <xdr:col>10</xdr:col>
                    <xdr:colOff>7620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2"/>
  <sheetViews>
    <sheetView zoomScale="80" zoomScaleNormal="80" workbookViewId="0">
      <selection activeCell="B14" sqref="B14"/>
    </sheetView>
  </sheetViews>
  <sheetFormatPr defaultColWidth="8.88671875" defaultRowHeight="13.2" x14ac:dyDescent="0.25"/>
  <cols>
    <col min="1" max="1" width="3.5546875" style="29" customWidth="1"/>
    <col min="2" max="2" width="15.6640625" style="29" customWidth="1"/>
    <col min="3" max="3" width="19.5546875" style="29" customWidth="1"/>
    <col min="4" max="4" width="14" style="29" customWidth="1"/>
    <col min="5" max="8" width="10.44140625" style="29" customWidth="1"/>
    <col min="9" max="9" width="8.44140625" style="29" customWidth="1"/>
    <col min="10" max="10" width="9" style="29" customWidth="1"/>
    <col min="11" max="12" width="8.44140625" style="29" customWidth="1"/>
    <col min="13" max="13" width="9.109375" style="29" customWidth="1"/>
    <col min="14" max="15" width="7.5546875" style="29" customWidth="1"/>
    <col min="16" max="16" width="12.44140625" style="29" customWidth="1"/>
    <col min="17" max="17" width="24.5546875" style="29" customWidth="1"/>
    <col min="18" max="16384" width="8.88671875" style="29"/>
  </cols>
  <sheetData>
    <row r="1" spans="1:20" x14ac:dyDescent="0.25">
      <c r="J1" s="30" t="str">
        <f>tech!J1</f>
        <v>UA</v>
      </c>
      <c r="L1" s="31" t="str">
        <f>IF($J$1="ENG","Змінити мову тут","Change language here")</f>
        <v>Change language here</v>
      </c>
      <c r="O1" s="31"/>
      <c r="P1" s="40"/>
    </row>
    <row r="2" spans="1:20" x14ac:dyDescent="0.25">
      <c r="B2" s="32" t="str">
        <f>IF($J$1="ENG","Capital requirements based on stress test results","Вимоги до капіталу за результатами стрес-тестування")</f>
        <v>Вимоги до капіталу за результатами стрес-тестування</v>
      </c>
      <c r="E2" s="100"/>
      <c r="F2" s="100"/>
      <c r="J2" s="51"/>
      <c r="K2" s="51"/>
      <c r="L2" s="51"/>
      <c r="M2" s="51"/>
      <c r="N2" s="51"/>
      <c r="O2" s="51"/>
      <c r="P2" s="51"/>
      <c r="Q2" s="51"/>
    </row>
    <row r="3" spans="1:20" x14ac:dyDescent="0.25">
      <c r="G3" s="101"/>
      <c r="H3" s="101"/>
      <c r="I3" s="101"/>
      <c r="J3" s="101"/>
      <c r="K3" s="101"/>
      <c r="L3" s="101"/>
      <c r="M3" s="101"/>
      <c r="N3" s="101"/>
      <c r="O3" s="110"/>
      <c r="Q3" s="102" t="str">
        <f>IF($J$1="ENG","(UAH mln)","(млн грн)")</f>
        <v>(млн грн)</v>
      </c>
      <c r="R3" s="51"/>
    </row>
    <row r="4" spans="1:20" ht="38.4" customHeight="1" x14ac:dyDescent="0.25">
      <c r="B4" s="51"/>
      <c r="C4" s="51"/>
      <c r="D4" s="51"/>
      <c r="E4" s="113">
        <v>22</v>
      </c>
      <c r="F4" s="113" t="e">
        <f>INDEX(tech!$I$4:$I$24,E4,1)</f>
        <v>#REF!</v>
      </c>
      <c r="G4" s="135" t="e">
        <f>INDEX(tech!$B$4:$B$24,E4,1)</f>
        <v>#REF!</v>
      </c>
      <c r="H4" s="115">
        <v>22</v>
      </c>
      <c r="I4" s="113" t="e">
        <f>INDEX(tech!$I$4:$I$24,H4,1)</f>
        <v>#REF!</v>
      </c>
      <c r="J4" s="135" t="e">
        <f>INDEX(tech!$B$4:$B$24,H4,1)</f>
        <v>#REF!</v>
      </c>
      <c r="K4" s="115">
        <v>22</v>
      </c>
      <c r="L4" s="113" t="e">
        <f>INDEX(tech!$I$4:$I$24,K4,1)</f>
        <v>#REF!</v>
      </c>
      <c r="M4" s="113" t="e">
        <f>INDEX(tech!$B$4:$B$24,K4,1)</f>
        <v>#REF!</v>
      </c>
      <c r="N4" s="115">
        <v>22</v>
      </c>
      <c r="O4" s="113" t="e">
        <f>INDEX(tech!$I$4:$I$24,N4,1)</f>
        <v>#REF!</v>
      </c>
      <c r="P4" s="113" t="e">
        <f>INDEX(tech!$B$4:$B$24,N4,1)</f>
        <v>#REF!</v>
      </c>
      <c r="Q4" s="99" t="str">
        <f>IF($J$1="ENG","All stress-tested banks","Усього за банками, що проходили стрес-тестування")</f>
        <v>Усього за банками, що проходили стрес-тестування</v>
      </c>
      <c r="R4" s="51"/>
    </row>
    <row r="5" spans="1:20" ht="14.4" customHeight="1" x14ac:dyDescent="0.25">
      <c r="A5" s="51"/>
      <c r="B5" s="180" t="str">
        <f>IF($J$1="ENG","Required capital ratios, adverse scenario","Необхідний рівень нормативів за несприятливим сценарієм")</f>
        <v>Необхідний рівень нормативів за несприятливим сценарієм</v>
      </c>
      <c r="C5" s="180" t="str">
        <f>IF($J$1="ENG","stress test results","за результатами стрес-тестування")</f>
        <v>за результатами стрес-тестування</v>
      </c>
      <c r="D5" s="103" t="str">
        <f>IF($J$1="ENG","RC","НРК")</f>
        <v>НРК</v>
      </c>
      <c r="E5" s="195" t="str">
        <f>IFERROR(INDEX('Data table'!$B$10:$CO$30,MATCH(G$4,'Data table'!$B$10:$B$30,0),MATCH(72,'Data table'!$B$3:$CO$3,0)),"")</f>
        <v/>
      </c>
      <c r="F5" s="195"/>
      <c r="G5" s="196"/>
      <c r="H5" s="195" t="str">
        <f>IFERROR(INDEX('Data table'!$B$10:$CO$30,MATCH(J$4,'Data table'!$B$10:$B$30,0),MATCH(72,'Data table'!$B$3:$CO$3,0)),"")</f>
        <v/>
      </c>
      <c r="I5" s="195"/>
      <c r="J5" s="196"/>
      <c r="K5" s="195" t="str">
        <f>IFERROR(INDEX('Data table'!$B$10:$CO$30,MATCH(M$4,'Data table'!$B$10:$B$30,0),MATCH(72,'Data table'!$B$3:$CO$3,0)),"")</f>
        <v/>
      </c>
      <c r="L5" s="195"/>
      <c r="M5" s="196"/>
      <c r="N5" s="195" t="str">
        <f>IFERROR(INDEX('Data table'!$B$10:$CO$30,MATCH(P$4,'Data table'!$B$10:$B$30,0),MATCH(72,'Data table'!$B$3:$CO$3,0)),"")</f>
        <v/>
      </c>
      <c r="O5" s="195"/>
      <c r="P5" s="196"/>
      <c r="Q5" s="134">
        <f ca="1">SUMPRODUCT(INDIRECT(CONCATENATE("'Data table'!",MID(ADDRESS(1,MATCH(26,'Data table'!$A$3:$CB$3,0),4),1,LEN(ADDRESS(1,MATCH(26,'Data table'!$A$3:$CB$3,0),4))-1),"10:",MID(ADDRESS(1,MATCH(26,'Data table'!$A$3:$CB$3,0),4),1,LEN(ADDRESS(1,MATCH(26,'Data table'!$A$3:$CB$3,0),4))-1),"30")),
(INDIRECT(CONCATENATE("'Data table'!",MID(ADDRESS(1,MATCH(72,'Data table'!$A$3:$CB$3,0),4),1,LEN(ADDRESS(1,MATCH(72,'Data table'!$A$3:$CB$3,0),4))-1),"10:",MID(ADDRESS(1,MATCH(72,'Data table'!$A$3:$CB$3,0),4),1,LEN(ADDRESS(1,MATCH(72,'Data table'!$A$3:$CB$3,0),4))-1),"30"))))
/SUM(INDIRECT(CONCATENATE("'Data table'!",MID(ADDRESS(1,MATCH(26,'Data table'!$A$3:$CB$3,0),4),1,LEN(ADDRESS(1,MATCH(26,'Data table'!$A$3:$CB$3,0),4))-1),"10:",MID(ADDRESS(1,MATCH(26,'Data table'!$A$3:$CB$3,0),4),1,LEN(ADDRESS(1,MATCH(26,'Data table'!$A$3:$CB$3,0),4))-1),"30")))</f>
        <v>0.1172837604995127</v>
      </c>
    </row>
    <row r="6" spans="1:20" ht="14.4" customHeight="1" x14ac:dyDescent="0.25">
      <c r="A6" s="51"/>
      <c r="B6" s="181"/>
      <c r="C6" s="181"/>
      <c r="D6" s="111" t="str">
        <f>IF($J$1="ENG","Tier1","НК1")</f>
        <v>НК1</v>
      </c>
      <c r="E6" s="195" t="str">
        <f>IFERROR(INDEX('Data table'!$B$10:$CO$30,MATCH(G$4,'Data table'!$B$10:$B$30,0),MATCH(73,'Data table'!$B$3:$CO$3,0)),"")</f>
        <v/>
      </c>
      <c r="F6" s="195"/>
      <c r="G6" s="196"/>
      <c r="H6" s="195" t="str">
        <f>IFERROR(INDEX('Data table'!$B$10:$CO$30,MATCH(J$4,'Data table'!$B$10:$B$30,0),MATCH(73,'Data table'!$B$3:$CO$3,0)),"")</f>
        <v/>
      </c>
      <c r="I6" s="195"/>
      <c r="J6" s="196"/>
      <c r="K6" s="195" t="str">
        <f>IFERROR(INDEX('Data table'!$B$10:$CO$30,MATCH(M$4,'Data table'!$B$10:$B$30,0),MATCH(73,'Data table'!$B$3:$CO$3,0)),"")</f>
        <v/>
      </c>
      <c r="L6" s="195"/>
      <c r="M6" s="196"/>
      <c r="N6" s="195" t="str">
        <f>IFERROR(INDEX('Data table'!$B$10:$CO$30,MATCH(P$4,'Data table'!$B$10:$B$30,0),MATCH(73,'Data table'!$B$3:$CO$3,0)),"")</f>
        <v/>
      </c>
      <c r="O6" s="195"/>
      <c r="P6" s="196"/>
      <c r="Q6" s="134">
        <f ca="1">SUMPRODUCT(INDIRECT(CONCATENATE("'Data table'!",MID(ADDRESS(1,MATCH(26,'Data table'!$A$3:$CB$3,0),4),1,LEN(ADDRESS(1,MATCH(26,'Data table'!$A$3:$CB$3,0),4))-1),"10:",MID(ADDRESS(1,MATCH(26,'Data table'!$A$3:$CB$3,0),4),1,LEN(ADDRESS(1,MATCH(26,'Data table'!$A$3:$CB$3,0),4))-1),"30")),
(INDIRECT(CONCATENATE("'Data table'!",MID(ADDRESS(1,MATCH(73,'Data table'!$A$3:$CB$3,0),4),1,LEN(ADDRESS(1,MATCH(73,'Data table'!$A$3:$CB$3,0),4))-1),"10:",MID(ADDRESS(1,MATCH(73,'Data table'!$A$3:$CB$3,0),4),1,LEN(ADDRESS(1,MATCH(73,'Data table'!$A$3:$CB$3,0),4))-1),"30"))))
/SUM(INDIRECT(CONCATENATE("'Data table'!",MID(ADDRESS(1,MATCH(26,'Data table'!$A$3:$CB$3,0),4),1,LEN(ADDRESS(1,MATCH(26,'Data table'!$A$3:$CB$3,0),4))-1),"10:",MID(ADDRESS(1,MATCH(26,'Data table'!$A$3:$CB$3,0),4),1,LEN(ADDRESS(1,MATCH(26,'Data table'!$A$3:$CB$3,0),4))-1),"30")))</f>
        <v>9.1019563162046346E-2</v>
      </c>
    </row>
    <row r="7" spans="1:20" ht="13.35" customHeight="1" x14ac:dyDescent="0.25">
      <c r="A7" s="51"/>
      <c r="B7" s="181"/>
      <c r="C7" s="182"/>
      <c r="D7" s="104" t="str">
        <f>IF($J$1="ENG","СЕТ1","НОК1")</f>
        <v>НОК1</v>
      </c>
      <c r="E7" s="195" t="str">
        <f>IFERROR(INDEX('Data table'!$B$10:$CO$30,MATCH(G$4,'Data table'!$B$10:$B$30,0),MATCH(74,'Data table'!$B$3:$CO$3,0)),"")</f>
        <v/>
      </c>
      <c r="F7" s="195"/>
      <c r="G7" s="196"/>
      <c r="H7" s="195" t="str">
        <f>IFERROR(INDEX('Data table'!$B$10:$CO$30,MATCH(J$4,'Data table'!$B$10:$B$30,0),MATCH(74,'Data table'!$B$3:$CO$3,0)),"")</f>
        <v/>
      </c>
      <c r="I7" s="195"/>
      <c r="J7" s="196"/>
      <c r="K7" s="195" t="str">
        <f>IFERROR(INDEX('Data table'!$B$10:$CO$30,MATCH(M$4,'Data table'!$B$10:$B$30,0),MATCH(74,'Data table'!$B$3:$CO$3,0)),"")</f>
        <v/>
      </c>
      <c r="L7" s="195"/>
      <c r="M7" s="196"/>
      <c r="N7" s="195" t="str">
        <f>IFERROR(INDEX('Data table'!$B$10:$CO$30,MATCH(P$4,'Data table'!$B$10:$B$30,0),MATCH(74,'Data table'!$B$3:$CO$3,0)),"")</f>
        <v/>
      </c>
      <c r="O7" s="195"/>
      <c r="P7" s="196"/>
      <c r="Q7" s="134">
        <f ca="1">SUMPRODUCT(INDIRECT(CONCATENATE("'Data table'!",MID(ADDRESS(1,MATCH(26,'Data table'!$A$3:$CB$3,0),4),1,LEN(ADDRESS(1,MATCH(26,'Data table'!$A$3:$CB$3,0),4))-1),"10:",MID(ADDRESS(1,MATCH(26,'Data table'!$A$3:$CB$3,0),4),1,LEN(ADDRESS(1,MATCH(26,'Data table'!$A$3:$CB$3,0),4))-1),"30")),
(INDIRECT(CONCATENATE("'Data table'!",MID(ADDRESS(1,MATCH(74,'Data table'!$A$3:$CB$3,0),4),1,LEN(ADDRESS(1,MATCH(74,'Data table'!$A$3:$CB$3,0),4))-1),"10:",MID(ADDRESS(1,MATCH(74,'Data table'!$A$3:$CB$3,0),4),1,LEN(ADDRESS(1,MATCH(74,'Data table'!$A$3:$CB$3,0),4))-1),"30"))))
/SUM(INDIRECT(CONCATENATE("'Data table'!",MID(ADDRESS(1,MATCH(26,'Data table'!$A$3:$CB$3,0),4),1,LEN(ADDRESS(1,MATCH(26,'Data table'!$A$3:$CB$3,0),4))-1),"10:",MID(ADDRESS(1,MATCH(26,'Data table'!$A$3:$CB$3,0),4),1,LEN(ADDRESS(1,MATCH(26,'Data table'!$A$3:$CB$3,0),4))-1),"30")))</f>
        <v>7.2134980238250032E-2</v>
      </c>
      <c r="R7" s="51"/>
    </row>
    <row r="8" spans="1:20" x14ac:dyDescent="0.25">
      <c r="A8" s="51"/>
      <c r="B8" s="181"/>
      <c r="C8" s="180" t="str">
        <f>IF($J$1="ENG","after measures taken and planned by banks*, %","з урахуванням здійснених та запланованих банком заходів*, %")</f>
        <v>з урахуванням здійснених та запланованих банком заходів*, %</v>
      </c>
      <c r="D8" s="103" t="str">
        <f t="shared" ref="D8:D13" si="0">D5</f>
        <v>НРК</v>
      </c>
      <c r="E8" s="195" t="str">
        <f>IFERROR(INDEX('Data table'!$B$10:$CO$30,MATCH(G$4,'Data table'!$B$10:$B$30,0),MATCH(75,'Data table'!$B$3:$CO$3,0)),"")</f>
        <v/>
      </c>
      <c r="F8" s="195"/>
      <c r="G8" s="196"/>
      <c r="H8" s="195" t="str">
        <f>IFERROR(INDEX('Data table'!$B$10:$CO$30,MATCH(J$4,'Data table'!$B$10:$B$30,0),MATCH(75,'Data table'!$B$3:$CO$3,0)),"")</f>
        <v/>
      </c>
      <c r="I8" s="195"/>
      <c r="J8" s="196"/>
      <c r="K8" s="195" t="str">
        <f>IFERROR(INDEX('Data table'!$B$10:$CO$30,MATCH(M$4,'Data table'!$B$10:$B$30,0),MATCH(75,'Data table'!$B$3:$CO$3,0)),"")</f>
        <v/>
      </c>
      <c r="L8" s="195"/>
      <c r="M8" s="196"/>
      <c r="N8" s="195" t="str">
        <f>IFERROR(INDEX('Data table'!$B$10:$CO$30,MATCH(P$4,'Data table'!$B$10:$B$30,0),MATCH(75,'Data table'!$B$3:$CO$3,0)),"")</f>
        <v/>
      </c>
      <c r="O8" s="195"/>
      <c r="P8" s="196"/>
      <c r="Q8" s="134">
        <f ca="1">SUMPRODUCT(INDIRECT(CONCATENATE("'Data table'!",MID(ADDRESS(1,MATCH(26,'Data table'!$A$3:$CB$3,0),4),1,LEN(ADDRESS(1,MATCH(26,'Data table'!$A$3:$CB$3,0),4))-1),"10:",MID(ADDRESS(1,MATCH(26,'Data table'!$A$3:$CB$3,0),4),1,LEN(ADDRESS(1,MATCH(26,'Data table'!$A$3:$CB$3,0),4))-1),"30")),
(INDIRECT(CONCATENATE("'Data table'!",MID(ADDRESS(1,MATCH(75,'Data table'!$A$3:$CB$3,0),4),1,LEN(ADDRESS(1,MATCH(75,'Data table'!$A$3:$CB$3,0),4))-1),"10:",MID(ADDRESS(1,MATCH(75,'Data table'!$A$3:$CB$3,0),4),1,LEN(ADDRESS(1,MATCH(75,'Data table'!$A$3:$CB$3,0),4))-1),"30"))))
/SUM(INDIRECT(CONCATENATE("'Data table'!",MID(ADDRESS(1,MATCH(26,'Data table'!$A$3:$CB$3,0),4),1,LEN(ADDRESS(1,MATCH(26,'Data table'!$A$3:$CB$3,0),4))-1),"10:",MID(ADDRESS(1,MATCH(26,'Data table'!$A$3:$CB$3,0),4),1,LEN(ADDRESS(1,MATCH(26,'Data table'!$A$3:$CB$3,0),4))-1),"30")))</f>
        <v>0.10824428808486393</v>
      </c>
      <c r="R8" s="53"/>
    </row>
    <row r="9" spans="1:20" ht="19.5" customHeight="1" x14ac:dyDescent="0.25">
      <c r="A9" s="51"/>
      <c r="B9" s="181"/>
      <c r="C9" s="181"/>
      <c r="D9" s="111" t="str">
        <f t="shared" si="0"/>
        <v>НК1</v>
      </c>
      <c r="E9" s="195" t="str">
        <f>IFERROR(INDEX('Data table'!$B$10:$CO$30,MATCH(G$4,'Data table'!$B$10:$B$30,0),MATCH(76,'Data table'!$B$3:$CO$3,0)),"")</f>
        <v/>
      </c>
      <c r="F9" s="195"/>
      <c r="G9" s="196"/>
      <c r="H9" s="195" t="str">
        <f>IFERROR(INDEX('Data table'!$B$10:$CO$30,MATCH(J$4,'Data table'!$B$10:$B$30,0),MATCH(76,'Data table'!$B$3:$CO$3,0)),"")</f>
        <v/>
      </c>
      <c r="I9" s="195"/>
      <c r="J9" s="196"/>
      <c r="K9" s="195" t="str">
        <f>IFERROR(INDEX('Data table'!$B$10:$CO$30,MATCH(M$4,'Data table'!$B$10:$B$30,0),MATCH(76,'Data table'!$B$3:$CO$3,0)),"")</f>
        <v/>
      </c>
      <c r="L9" s="195"/>
      <c r="M9" s="196"/>
      <c r="N9" s="195" t="str">
        <f>IFERROR(INDEX('Data table'!$B$10:$CO$30,MATCH(P$4,'Data table'!$B$10:$B$30,0),MATCH(76,'Data table'!$B$3:$CO$3,0)),"")</f>
        <v/>
      </c>
      <c r="O9" s="195"/>
      <c r="P9" s="196"/>
      <c r="Q9" s="134">
        <f ca="1">SUMPRODUCT(INDIRECT(CONCATENATE("'Data table'!",MID(ADDRESS(1,MATCH(26,'Data table'!$A$3:$CB$3,0),4),1,LEN(ADDRESS(1,MATCH(26,'Data table'!$A$3:$CB$3,0),4))-1),"10:",MID(ADDRESS(1,MATCH(26,'Data table'!$A$3:$CB$3,0),4),1,LEN(ADDRESS(1,MATCH(26,'Data table'!$A$3:$CB$3,0),4))-1),"30")),
(INDIRECT(CONCATENATE("'Data table'!",MID(ADDRESS(1,MATCH(76,'Data table'!$A$3:$CB$3,0),4),1,LEN(ADDRESS(1,MATCH(76,'Data table'!$A$3:$CB$3,0),4))-1),"10:",MID(ADDRESS(1,MATCH(76,'Data table'!$A$3:$CB$3,0),4),1,LEN(ADDRESS(1,MATCH(76,'Data table'!$A$3:$CB$3,0),4))-1),"30"))))
/SUM(INDIRECT(CONCATENATE("'Data table'!",MID(ADDRESS(1,MATCH(26,'Data table'!$A$3:$CB$3,0),4),1,LEN(ADDRESS(1,MATCH(26,'Data table'!$A$3:$CB$3,0),4))-1),"10:",MID(ADDRESS(1,MATCH(26,'Data table'!$A$3:$CB$3,0),4),1,LEN(ADDRESS(1,MATCH(26,'Data table'!$A$3:$CB$3,0),4))-1),"30")))</f>
        <v>8.2117531396298307E-2</v>
      </c>
      <c r="R9" s="53"/>
    </row>
    <row r="10" spans="1:20" ht="19.5" customHeight="1" x14ac:dyDescent="0.25">
      <c r="A10" s="51"/>
      <c r="B10" s="181"/>
      <c r="C10" s="182"/>
      <c r="D10" s="104" t="str">
        <f t="shared" si="0"/>
        <v>НОК1</v>
      </c>
      <c r="E10" s="195" t="str">
        <f>IFERROR(INDEX('Data table'!$B$10:$CO$30,MATCH(G$4,'Data table'!$B$10:$B$30,0),MATCH(77,'Data table'!$B$3:$CO$3,0)),"")</f>
        <v/>
      </c>
      <c r="F10" s="195"/>
      <c r="G10" s="196"/>
      <c r="H10" s="195" t="str">
        <f>IFERROR(INDEX('Data table'!$B$10:$CO$30,MATCH(J$4,'Data table'!$B$10:$B$30,0),MATCH(77,'Data table'!$B$3:$CO$3,0)),"")</f>
        <v/>
      </c>
      <c r="I10" s="195"/>
      <c r="J10" s="196"/>
      <c r="K10" s="195" t="str">
        <f>IFERROR(INDEX('Data table'!$B$10:$CO$30,MATCH(M$4,'Data table'!$B$10:$B$30,0),MATCH(77,'Data table'!$B$3:$CO$3,0)),"")</f>
        <v/>
      </c>
      <c r="L10" s="195"/>
      <c r="M10" s="196"/>
      <c r="N10" s="195" t="str">
        <f>IFERROR(INDEX('Data table'!$B$10:$CO$30,MATCH(P$4,'Data table'!$B$10:$B$30,0),MATCH(77,'Data table'!$B$3:$CO$3,0)),"")</f>
        <v/>
      </c>
      <c r="O10" s="195"/>
      <c r="P10" s="196"/>
      <c r="Q10" s="134">
        <f ca="1">SUMPRODUCT(INDIRECT(CONCATENATE("'Data table'!",MID(ADDRESS(1,MATCH(26,'Data table'!$A$3:$CB$3,0),4),1,LEN(ADDRESS(1,MATCH(26,'Data table'!$A$3:$CB$3,0),4))-1),"10:",MID(ADDRESS(1,MATCH(26,'Data table'!$A$3:$CB$3,0),4),1,LEN(ADDRESS(1,MATCH(26,'Data table'!$A$3:$CB$3,0),4))-1),"30")),
(INDIRECT(CONCATENATE("'Data table'!",MID(ADDRESS(1,MATCH(77,'Data table'!$A$3:$CB$3,0),4),1,LEN(ADDRESS(1,MATCH(77,'Data table'!$A$3:$CB$3,0),4))-1),"10:",MID(ADDRESS(1,MATCH(77,'Data table'!$A$3:$CB$3,0),4),1,LEN(ADDRESS(1,MATCH(77,'Data table'!$A$3:$CB$3,0),4))-1),"30"))))
/SUM(INDIRECT(CONCATENATE("'Data table'!",MID(ADDRESS(1,MATCH(26,'Data table'!$A$3:$CB$3,0),4),1,LEN(ADDRESS(1,MATCH(26,'Data table'!$A$3:$CB$3,0),4))-1),"10:",MID(ADDRESS(1,MATCH(26,'Data table'!$A$3:$CB$3,0),4),1,LEN(ADDRESS(1,MATCH(26,'Data table'!$A$3:$CB$3,0),4))-1),"30")))</f>
        <v>6.3162819490866343E-2</v>
      </c>
      <c r="R10" s="53"/>
    </row>
    <row r="11" spans="1:20" ht="13.35" customHeight="1" x14ac:dyDescent="0.25">
      <c r="C11" s="192" t="str">
        <f>IF(J$1="ENG","Actual capital ratios as of 1 Dec 2025","Фактичний рівень нормативів на 01.12.2025 р.")</f>
        <v>Фактичний рівень нормативів на 01.12.2025 р.</v>
      </c>
      <c r="D11" s="105" t="str">
        <f t="shared" si="0"/>
        <v>НРК</v>
      </c>
      <c r="E11" s="195" t="str">
        <f>IFERROR(INDEX('Data table'!$B$10:$CO$30,MATCH(G$4,'Data table'!$B$10:$B$30,0),MATCH(78,'Data table'!$B$3:$CO$3,0)),"")</f>
        <v/>
      </c>
      <c r="F11" s="195"/>
      <c r="G11" s="196"/>
      <c r="H11" s="195" t="str">
        <f>IFERROR(INDEX('Data table'!$B$10:$CO$30,MATCH(J$4,'Data table'!$B$10:$B$30,0),MATCH(78,'Data table'!$B$3:$CO$3,0)),"")</f>
        <v/>
      </c>
      <c r="I11" s="195"/>
      <c r="J11" s="196"/>
      <c r="K11" s="195" t="str">
        <f>IFERROR(INDEX('Data table'!$B$10:$CO$30,MATCH(M$4,'Data table'!$B$10:$B$30,0),MATCH(78,'Data table'!$B$3:$CO$3,0)),"")</f>
        <v/>
      </c>
      <c r="L11" s="195"/>
      <c r="M11" s="196"/>
      <c r="N11" s="195" t="str">
        <f>IFERROR(INDEX('Data table'!$B$10:$CO$30,MATCH(P$4,'Data table'!$B$10:$B$30,0),MATCH(78,'Data table'!$B$3:$CO$3,0)),"")</f>
        <v/>
      </c>
      <c r="O11" s="195"/>
      <c r="P11" s="196"/>
      <c r="Q11" s="106"/>
      <c r="R11" s="51"/>
      <c r="S11" s="51"/>
    </row>
    <row r="12" spans="1:20" ht="13.35" customHeight="1" x14ac:dyDescent="0.25">
      <c r="C12" s="193"/>
      <c r="D12" s="112" t="str">
        <f t="shared" si="0"/>
        <v>НК1</v>
      </c>
      <c r="E12" s="195" t="str">
        <f>IFERROR(INDEX('Data table'!$B$10:$CO$30,MATCH(G$4,'Data table'!$B$10:$B$30,0),MATCH(79,'Data table'!$B$3:$CO$3,0)),"")</f>
        <v/>
      </c>
      <c r="F12" s="195"/>
      <c r="G12" s="196" t="str">
        <f>IFERROR(INDEX('Data table'!$B$10:$CO$30,MATCH(G$4,'Data table'!$B$10:$B$30,0),MATCH(79,'Data table'!$B$3:$CO$3,0)),"")</f>
        <v/>
      </c>
      <c r="H12" s="195" t="str">
        <f>IFERROR(INDEX('Data table'!$B$10:$CO$30,MATCH(J$4,'Data table'!$B$10:$B$30,0),MATCH(79,'Data table'!$B$3:$CO$3,0)),"")</f>
        <v/>
      </c>
      <c r="I12" s="195"/>
      <c r="J12" s="196" t="str">
        <f>IFERROR(INDEX('Data table'!$B$10:$CO$30,MATCH(J$4,'Data table'!$B$10:$B$30,0),MATCH(79,'Data table'!$B$3:$CO$3,0)),"")</f>
        <v/>
      </c>
      <c r="K12" s="195" t="str">
        <f>IFERROR(INDEX('Data table'!$B$10:$CO$30,MATCH(M$4,'Data table'!$B$10:$B$30,0),MATCH(79,'Data table'!$B$3:$CO$3,0)),"")</f>
        <v/>
      </c>
      <c r="L12" s="195"/>
      <c r="M12" s="196" t="str">
        <f>IFERROR(INDEX('Data table'!$B$10:$CO$30,MATCH(M$4,'Data table'!$B$10:$B$30,0),MATCH(79,'Data table'!$B$3:$CO$3,0)),"")</f>
        <v/>
      </c>
      <c r="N12" s="195" t="str">
        <f>IFERROR(INDEX('Data table'!$B$10:$CO$30,MATCH(P$4,'Data table'!$B$10:$B$30,0),MATCH(79,'Data table'!$B$3:$CO$3,0)),"")</f>
        <v/>
      </c>
      <c r="O12" s="195"/>
      <c r="P12" s="196" t="str">
        <f>IFERROR(INDEX('Data table'!$B$10:$CO$30,MATCH(P$4,'Data table'!$B$10:$B$30,0),MATCH(79,'Data table'!$B$3:$CO$3,0)),"")</f>
        <v/>
      </c>
      <c r="Q12" s="51"/>
      <c r="R12" s="51"/>
      <c r="S12" s="51"/>
    </row>
    <row r="13" spans="1:20" ht="13.35" customHeight="1" x14ac:dyDescent="0.25">
      <c r="C13" s="194"/>
      <c r="D13" s="107" t="str">
        <f t="shared" si="0"/>
        <v>НОК1</v>
      </c>
      <c r="E13" s="195" t="str">
        <f>IFERROR(INDEX('Data table'!$B$10:$CO$30,MATCH(G$4,'Data table'!$B$10:$B$30,0),MATCH(80,'Data table'!$B$3:$CO$3,0)),"")</f>
        <v/>
      </c>
      <c r="F13" s="195"/>
      <c r="G13" s="196"/>
      <c r="H13" s="195" t="str">
        <f>IFERROR(INDEX('Data table'!$B$10:$CO$30,MATCH(J$4,'Data table'!$B$10:$B$30,0),MATCH(80,'Data table'!$B$3:$CO$3,0)),"")</f>
        <v/>
      </c>
      <c r="I13" s="195"/>
      <c r="J13" s="196"/>
      <c r="K13" s="195" t="str">
        <f>IFERROR(INDEX('Data table'!$B$10:$CO$30,MATCH(M$4,'Data table'!$B$10:$B$30,0),MATCH(80,'Data table'!$B$3:$CO$3,0)),"")</f>
        <v/>
      </c>
      <c r="L13" s="195"/>
      <c r="M13" s="196"/>
      <c r="N13" s="195" t="str">
        <f>IFERROR(INDEX('Data table'!$B$10:$CO$30,MATCH(P$4,'Data table'!$B$10:$B$30,0),MATCH(80,'Data table'!$B$3:$CO$3,0)),"")</f>
        <v/>
      </c>
      <c r="O13" s="195"/>
      <c r="P13" s="196"/>
    </row>
    <row r="14" spans="1:20" x14ac:dyDescent="0.25">
      <c r="B14" s="29" t="str">
        <f>IF($J$1="ENG","*According to the restructuring/capitalization plans validated by the NBU","*Відповідно до погоджених НБУ програм реструктуризації/капіталізації")</f>
        <v>*Відповідно до погоджених НБУ програм реструктуризації/капіталізації</v>
      </c>
    </row>
    <row r="15" spans="1:20" x14ac:dyDescent="0.25">
      <c r="B15" s="29" t="str">
        <f>IF($J$1="ENG","RC-Regulatory capital ratio, Tier1 - Tier 1 ratio, СЕТ1 - Common Equity Tier 1 capital ratio","НРК - норматив достатності регулятивного капіталу, НК1 - норматив достатності капіталу 1 рівня, НОК1 - норматив достатності основного капіталу 1 рівня.")</f>
        <v>НРК - норматив достатності регулятивного капіталу, НК1 - норматив достатності капіталу 1 рівня, НОК1 - норматив достатності основного капіталу 1 рівня.</v>
      </c>
    </row>
    <row r="16" spans="1:20" ht="31.35" customHeight="1" x14ac:dyDescent="0.25"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08"/>
      <c r="S16" s="108"/>
      <c r="T16" s="108"/>
    </row>
    <row r="17" spans="1:20" ht="31.35" customHeight="1" x14ac:dyDescent="0.25">
      <c r="B17" s="197" t="str">
        <f>IFERROR(CONCATENATE($A$43,$F$4),$A$43)</f>
        <v xml:space="preserve">Необхідний рівень капіталу
до та після здійснених та запланованих заходів
</v>
      </c>
      <c r="C17" s="200"/>
      <c r="D17" s="200"/>
      <c r="E17" s="197" t="str">
        <f>IFERROR(CONCATENATE($A$43,$I$4),$A$43)</f>
        <v xml:space="preserve">Необхідний рівень капіталу
до та після здійснених та запланованих заходів
</v>
      </c>
      <c r="F17" s="201"/>
      <c r="G17" s="201"/>
      <c r="H17" s="201"/>
      <c r="I17" s="133"/>
      <c r="J17" s="197" t="str">
        <f>IFERROR(CONCATENATE($A$43,$L$4),$A$43)</f>
        <v xml:space="preserve">Необхідний рівень капіталу
до та після здійснених та запланованих заходів
</v>
      </c>
      <c r="K17" s="198"/>
      <c r="L17" s="198"/>
      <c r="M17" s="198"/>
      <c r="N17" s="198"/>
      <c r="O17" s="197" t="str">
        <f>IFERROR(CONCATENATE($A$43,$O$4),$A$43)</f>
        <v xml:space="preserve">Необхідний рівень капіталу
до та після здійснених та запланованих заходів
</v>
      </c>
      <c r="P17" s="199"/>
      <c r="Q17" s="199"/>
      <c r="R17" s="199"/>
      <c r="S17" s="108"/>
      <c r="T17" s="108"/>
    </row>
    <row r="18" spans="1:20" x14ac:dyDescent="0.25">
      <c r="B18" s="200"/>
      <c r="C18" s="200"/>
      <c r="D18" s="200"/>
      <c r="E18" s="201"/>
      <c r="F18" s="201"/>
      <c r="G18" s="201"/>
      <c r="H18" s="201"/>
      <c r="I18" s="124"/>
      <c r="J18" s="198"/>
      <c r="K18" s="198"/>
      <c r="L18" s="198"/>
      <c r="M18" s="198"/>
      <c r="N18" s="198"/>
      <c r="O18" s="199"/>
      <c r="P18" s="199"/>
      <c r="Q18" s="199"/>
      <c r="R18" s="199"/>
    </row>
    <row r="19" spans="1:20" x14ac:dyDescent="0.25">
      <c r="A19" s="72"/>
    </row>
    <row r="20" spans="1:20" x14ac:dyDescent="0.25">
      <c r="A20" s="72"/>
    </row>
    <row r="21" spans="1:20" x14ac:dyDescent="0.25">
      <c r="A21" s="72"/>
    </row>
    <row r="22" spans="1:20" x14ac:dyDescent="0.25">
      <c r="A22" s="72"/>
    </row>
    <row r="23" spans="1:20" x14ac:dyDescent="0.25">
      <c r="A23" s="72"/>
    </row>
    <row r="24" spans="1:20" x14ac:dyDescent="0.25">
      <c r="A24" s="72"/>
    </row>
    <row r="25" spans="1:20" x14ac:dyDescent="0.25">
      <c r="A25" s="72"/>
    </row>
    <row r="26" spans="1:20" x14ac:dyDescent="0.25">
      <c r="A26" s="114"/>
    </row>
    <row r="27" spans="1:20" x14ac:dyDescent="0.25">
      <c r="A27" s="72"/>
    </row>
    <row r="28" spans="1:20" x14ac:dyDescent="0.25">
      <c r="A28" s="72"/>
    </row>
    <row r="29" spans="1:20" x14ac:dyDescent="0.25">
      <c r="A29" s="72"/>
    </row>
    <row r="30" spans="1:20" x14ac:dyDescent="0.25">
      <c r="A30" s="72"/>
    </row>
    <row r="31" spans="1:20" x14ac:dyDescent="0.25">
      <c r="A31" s="72"/>
    </row>
    <row r="32" spans="1:20" x14ac:dyDescent="0.25">
      <c r="A32" s="72"/>
    </row>
    <row r="33" spans="1:2" x14ac:dyDescent="0.25">
      <c r="A33" s="72"/>
    </row>
    <row r="34" spans="1:2" x14ac:dyDescent="0.25">
      <c r="A34" s="55"/>
      <c r="B34" s="55"/>
    </row>
    <row r="35" spans="1:2" x14ac:dyDescent="0.25">
      <c r="A35" s="55"/>
      <c r="B35" s="55"/>
    </row>
    <row r="36" spans="1:2" x14ac:dyDescent="0.25">
      <c r="A36" s="55"/>
      <c r="B36" s="72"/>
    </row>
    <row r="37" spans="1:2" x14ac:dyDescent="0.25">
      <c r="A37" s="55"/>
      <c r="B37" s="72"/>
    </row>
    <row r="38" spans="1:2" x14ac:dyDescent="0.25">
      <c r="A38" s="117">
        <v>0.1</v>
      </c>
      <c r="B38" s="72"/>
    </row>
    <row r="39" spans="1:2" x14ac:dyDescent="0.25">
      <c r="A39" s="118">
        <v>7.4999999999999997E-2</v>
      </c>
      <c r="B39" s="72"/>
    </row>
    <row r="40" spans="1:2" x14ac:dyDescent="0.25">
      <c r="A40" s="118">
        <v>5.6250000000000001E-2</v>
      </c>
      <c r="B40" s="72"/>
    </row>
    <row r="41" spans="1:2" x14ac:dyDescent="0.25">
      <c r="A41" s="55"/>
      <c r="B41" s="72"/>
    </row>
    <row r="42" spans="1:2" x14ac:dyDescent="0.25">
      <c r="A42" s="55"/>
      <c r="B42" s="72"/>
    </row>
    <row r="43" spans="1:2" x14ac:dyDescent="0.25">
      <c r="A43" s="109" t="str">
        <f>IF($J$1="ENG","Required capital ratios before and after taken and planned measures
","Необхідний рівень капіталу
до та після здійснених та запланованих заходів
")</f>
        <v xml:space="preserve">Необхідний рівень капіталу
до та після здійснених та запланованих заходів
</v>
      </c>
      <c r="B43" s="72"/>
    </row>
    <row r="44" spans="1:2" x14ac:dyDescent="0.25">
      <c r="A44" s="55"/>
      <c r="B44" s="72"/>
    </row>
    <row r="45" spans="1:2" x14ac:dyDescent="0.25">
      <c r="A45" s="55"/>
      <c r="B45" s="72"/>
    </row>
    <row r="46" spans="1:2" x14ac:dyDescent="0.25">
      <c r="A46" s="72"/>
      <c r="B46" s="72"/>
    </row>
    <row r="47" spans="1:2" x14ac:dyDescent="0.25">
      <c r="A47" s="72"/>
      <c r="B47" s="72"/>
    </row>
    <row r="48" spans="1:2" x14ac:dyDescent="0.25">
      <c r="A48" s="72"/>
      <c r="B48" s="72"/>
    </row>
    <row r="49" spans="1:2" x14ac:dyDescent="0.25">
      <c r="A49" s="72"/>
      <c r="B49" s="72"/>
    </row>
    <row r="50" spans="1:2" x14ac:dyDescent="0.25">
      <c r="A50" s="72"/>
      <c r="B50" s="72"/>
    </row>
    <row r="51" spans="1:2" x14ac:dyDescent="0.25">
      <c r="A51" s="72"/>
      <c r="B51" s="72"/>
    </row>
    <row r="52" spans="1:2" x14ac:dyDescent="0.25">
      <c r="A52" s="72"/>
      <c r="B52" s="72"/>
    </row>
  </sheetData>
  <mergeCells count="45">
    <mergeCell ref="J17:N18"/>
    <mergeCell ref="O17:R18"/>
    <mergeCell ref="B17:D18"/>
    <mergeCell ref="E17:H18"/>
    <mergeCell ref="N5:P5"/>
    <mergeCell ref="E7:G7"/>
    <mergeCell ref="H7:J7"/>
    <mergeCell ref="K7:M7"/>
    <mergeCell ref="N7:P7"/>
    <mergeCell ref="E6:G6"/>
    <mergeCell ref="H6:J6"/>
    <mergeCell ref="K6:M6"/>
    <mergeCell ref="N6:P6"/>
    <mergeCell ref="B5:B10"/>
    <mergeCell ref="C5:C7"/>
    <mergeCell ref="E5:G5"/>
    <mergeCell ref="H5:J5"/>
    <mergeCell ref="K5:M5"/>
    <mergeCell ref="E9:G9"/>
    <mergeCell ref="H9:J9"/>
    <mergeCell ref="K9:M9"/>
    <mergeCell ref="C8:C10"/>
    <mergeCell ref="E8:G8"/>
    <mergeCell ref="H8:J8"/>
    <mergeCell ref="K8:M8"/>
    <mergeCell ref="N8:P8"/>
    <mergeCell ref="E10:G10"/>
    <mergeCell ref="H10:J10"/>
    <mergeCell ref="K10:M10"/>
    <mergeCell ref="N10:P10"/>
    <mergeCell ref="N9:P9"/>
    <mergeCell ref="B16:Q16"/>
    <mergeCell ref="C11:C13"/>
    <mergeCell ref="E11:G11"/>
    <mergeCell ref="H11:J11"/>
    <mergeCell ref="K11:M11"/>
    <mergeCell ref="N11:P11"/>
    <mergeCell ref="E13:G13"/>
    <mergeCell ref="H13:J13"/>
    <mergeCell ref="K13:M13"/>
    <mergeCell ref="N13:P13"/>
    <mergeCell ref="E12:G12"/>
    <mergeCell ref="H12:J12"/>
    <mergeCell ref="K12:M12"/>
    <mergeCell ref="N12:P12"/>
  </mergeCells>
  <conditionalFormatting sqref="E5:P5">
    <cfRule type="cellIs" dxfId="5" priority="6" operator="greaterThan">
      <formula>0.1</formula>
    </cfRule>
  </conditionalFormatting>
  <conditionalFormatting sqref="E6:P6">
    <cfRule type="cellIs" dxfId="4" priority="5" operator="greaterThan">
      <formula>0.075</formula>
    </cfRule>
  </conditionalFormatting>
  <conditionalFormatting sqref="E7:P7">
    <cfRule type="cellIs" dxfId="3" priority="4" operator="greaterThan">
      <formula>0.05625</formula>
    </cfRule>
  </conditionalFormatting>
  <conditionalFormatting sqref="E8:P8">
    <cfRule type="cellIs" dxfId="2" priority="3" operator="greaterThan">
      <formula>0.1</formula>
    </cfRule>
  </conditionalFormatting>
  <conditionalFormatting sqref="E9:P9">
    <cfRule type="cellIs" dxfId="1" priority="2" operator="greaterThan">
      <formula>0.075</formula>
    </cfRule>
  </conditionalFormatting>
  <conditionalFormatting sqref="E10:P10">
    <cfRule type="cellIs" dxfId="0" priority="1" operator="greaterThan">
      <formula>0.05625</formula>
    </cfRule>
  </conditionalFormatting>
  <pageMargins left="0.7" right="0.7" top="0.75" bottom="0.75" header="0.3" footer="0.3"/>
  <pageSetup paperSize="9" orientation="portrait" horizontalDpi="4294967293" verticalDpi="0" r:id="rId1"/>
  <ignoredErrors>
    <ignoredError sqref="F4:G4 L4:M4 I4:J4 O4:P4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Drop Down 1">
              <controlPr defaultSize="0" autoLine="0" autoPict="0">
                <anchor moveWithCells="1">
                  <from>
                    <xdr:col>4</xdr:col>
                    <xdr:colOff>76200</xdr:colOff>
                    <xdr:row>3</xdr:row>
                    <xdr:rowOff>83820</xdr:rowOff>
                  </from>
                  <to>
                    <xdr:col>6</xdr:col>
                    <xdr:colOff>556260</xdr:colOff>
                    <xdr:row>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Drop Down 2">
              <controlPr defaultSize="0" autoLine="0" autoPict="0">
                <anchor moveWithCells="1">
                  <from>
                    <xdr:col>7</xdr:col>
                    <xdr:colOff>190500</xdr:colOff>
                    <xdr:row>3</xdr:row>
                    <xdr:rowOff>106680</xdr:rowOff>
                  </from>
                  <to>
                    <xdr:col>9</xdr:col>
                    <xdr:colOff>518160</xdr:colOff>
                    <xdr:row>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Drop Down 3">
              <controlPr defaultSize="0" autoLine="0" autoPict="0">
                <anchor moveWithCells="1">
                  <from>
                    <xdr:col>10</xdr:col>
                    <xdr:colOff>83820</xdr:colOff>
                    <xdr:row>3</xdr:row>
                    <xdr:rowOff>106680</xdr:rowOff>
                  </from>
                  <to>
                    <xdr:col>13</xdr:col>
                    <xdr:colOff>22860</xdr:colOff>
                    <xdr:row>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7" name="Drop Down 4">
              <controlPr defaultSize="0" autoLine="0" autoPict="0">
                <anchor moveWithCells="1">
                  <from>
                    <xdr:col>13</xdr:col>
                    <xdr:colOff>160020</xdr:colOff>
                    <xdr:row>3</xdr:row>
                    <xdr:rowOff>114300</xdr:rowOff>
                  </from>
                  <to>
                    <xdr:col>16</xdr:col>
                    <xdr:colOff>0</xdr:colOff>
                    <xdr:row>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6" r:id="rId8" name="Drop Down 6">
              <controlPr defaultSize="0" autoLine="0" autoPict="0">
                <anchor moveWithCells="1">
                  <from>
                    <xdr:col>8</xdr:col>
                    <xdr:colOff>259080</xdr:colOff>
                    <xdr:row>0</xdr:row>
                    <xdr:rowOff>7620</xdr:rowOff>
                  </from>
                  <to>
                    <xdr:col>10</xdr:col>
                    <xdr:colOff>525780</xdr:colOff>
                    <xdr:row>1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7"/>
  <sheetViews>
    <sheetView zoomScale="80" zoomScaleNormal="80" workbookViewId="0">
      <selection activeCell="B18" sqref="B18"/>
    </sheetView>
  </sheetViews>
  <sheetFormatPr defaultColWidth="8.88671875" defaultRowHeight="13.2" x14ac:dyDescent="0.25"/>
  <cols>
    <col min="1" max="1" width="4" style="29" customWidth="1"/>
    <col min="2" max="2" width="24.109375" style="29" customWidth="1"/>
    <col min="3" max="3" width="12" style="29" customWidth="1"/>
    <col min="4" max="4" width="10.109375" style="29" customWidth="1"/>
    <col min="5" max="5" width="8.6640625" style="29" customWidth="1"/>
    <col min="6" max="6" width="9.6640625" style="29" customWidth="1"/>
    <col min="7" max="7" width="9.109375" style="29" customWidth="1"/>
    <col min="8" max="8" width="12.44140625" style="29" customWidth="1"/>
    <col min="9" max="9" width="12" style="29" customWidth="1"/>
    <col min="10" max="10" width="11.6640625" style="29" bestFit="1" customWidth="1"/>
    <col min="11" max="11" width="15.44140625" style="29" customWidth="1"/>
    <col min="12" max="12" width="8.44140625" style="29" customWidth="1"/>
    <col min="13" max="13" width="8.109375" style="29" customWidth="1"/>
    <col min="14" max="14" width="11.44140625" style="29" customWidth="1"/>
    <col min="15" max="16" width="12.109375" style="29" customWidth="1"/>
    <col min="17" max="17" width="11.6640625" style="29" customWidth="1"/>
    <col min="18" max="19" width="6.44140625" style="29" bestFit="1" customWidth="1"/>
    <col min="20" max="20" width="10.44140625" style="29" customWidth="1"/>
    <col min="21" max="21" width="13" style="29" customWidth="1"/>
    <col min="22" max="22" width="12.109375" style="29" customWidth="1"/>
    <col min="23" max="23" width="12.6640625" style="29" customWidth="1"/>
    <col min="24" max="16384" width="8.88671875" style="29"/>
  </cols>
  <sheetData>
    <row r="1" spans="1:24" ht="19.5" customHeight="1" x14ac:dyDescent="0.25">
      <c r="J1" s="30" t="str">
        <f>tech!J1</f>
        <v>UA</v>
      </c>
      <c r="K1" s="116" t="str">
        <f>IF($J$1="ENG","Змінити мову тут","Change language here")</f>
        <v>Change language here</v>
      </c>
    </row>
    <row r="2" spans="1:24" x14ac:dyDescent="0.25">
      <c r="B2" s="58" t="str">
        <f>IF($J$1="ENG","Stress test results (comparison across groups of banks)","Результати стрес-тестування банку (порівняння із відповідною групою банків)")</f>
        <v>Результати стрес-тестування банку (порівняння із відповідною групою банків)</v>
      </c>
      <c r="I2" s="33">
        <v>4</v>
      </c>
      <c r="J2" s="34" t="str">
        <f>IFERROR(INDEX(tech!I4:I24,'Comparison with group'!I2,1),"")</f>
        <v>Укргазбанк</v>
      </c>
      <c r="K2" s="33">
        <f>IFERROR(INDEX(tech!B4:B24,I2,1),"")</f>
        <v>274</v>
      </c>
      <c r="L2" s="35"/>
      <c r="M2" s="35"/>
    </row>
    <row r="3" spans="1:24" x14ac:dyDescent="0.25">
      <c r="C3" s="83"/>
      <c r="D3" s="83"/>
      <c r="E3" s="32"/>
      <c r="F3" s="32"/>
      <c r="G3" s="32"/>
      <c r="H3" s="32"/>
      <c r="I3" s="32"/>
      <c r="J3" s="32"/>
      <c r="K3" s="32"/>
      <c r="L3" s="32"/>
      <c r="M3" s="177"/>
      <c r="N3" s="32"/>
      <c r="O3" s="32"/>
      <c r="P3" s="32"/>
      <c r="Q3" s="32"/>
      <c r="R3" s="32"/>
      <c r="S3" s="32"/>
      <c r="T3" s="32"/>
    </row>
    <row r="4" spans="1:24" x14ac:dyDescent="0.25">
      <c r="B4" s="36"/>
      <c r="C4" s="36"/>
      <c r="D4" s="36"/>
      <c r="E4" s="36"/>
      <c r="F4" s="36"/>
      <c r="G4" s="36"/>
      <c r="H4" s="36"/>
      <c r="L4" s="51"/>
      <c r="M4" s="51"/>
      <c r="N4" s="51"/>
      <c r="O4" s="36"/>
      <c r="P4" s="36"/>
      <c r="Q4" s="36"/>
      <c r="R4" s="36"/>
      <c r="S4" s="36"/>
      <c r="T4" s="37"/>
      <c r="U4" s="37"/>
      <c r="W4" s="37" t="s">
        <v>65</v>
      </c>
    </row>
    <row r="5" spans="1:24" ht="20.399999999999999" customHeight="1" x14ac:dyDescent="0.25">
      <c r="B5" s="189" t="str">
        <f>IF($J$1="ENG","Indicator","Показник")</f>
        <v>Показник</v>
      </c>
      <c r="C5" s="189" t="str">
        <f>IFERROR(J2,"")</f>
        <v>Укргазбанк</v>
      </c>
      <c r="D5" s="189"/>
      <c r="E5" s="189"/>
      <c r="F5" s="189"/>
      <c r="G5" s="189"/>
      <c r="H5" s="189"/>
      <c r="I5" s="189" t="str">
        <f>IF($J$1="ENG","All stress-tested banks","Усі банки, що проходили стрес-тестування")</f>
        <v>Усі банки, що проходили стрес-тестування</v>
      </c>
      <c r="J5" s="189"/>
      <c r="K5" s="189"/>
      <c r="L5" s="189"/>
      <c r="M5" s="189"/>
      <c r="N5" s="189"/>
      <c r="O5" s="189" t="str">
        <f>IFERROR(VLOOKUP(K2,tech!$B$4:$J$24,9,0),"")</f>
        <v>Банки з державною часткою</v>
      </c>
      <c r="P5" s="189"/>
      <c r="Q5" s="189"/>
      <c r="R5" s="189"/>
      <c r="S5" s="189"/>
      <c r="T5" s="189"/>
      <c r="U5" s="180" t="str">
        <f>IF($J$1="ENG","Hurdle rate of Regulatory capital ratio","Граничне значення НРК")</f>
        <v>Граничне значення НРК</v>
      </c>
      <c r="V5" s="180" t="str">
        <f>IF($J$1="ENG","Hurdle rate of Tier I capital ratio","Граничне значення НК1")</f>
        <v>Граничне значення НК1</v>
      </c>
      <c r="W5" s="180" t="str">
        <f>IF($J$1="ENG","Hurdle rate of Common Equity Tier 1 capital ratio","Граничне значення НОК1")</f>
        <v>Граничне значення НОК1</v>
      </c>
    </row>
    <row r="6" spans="1:24" ht="66" customHeight="1" x14ac:dyDescent="0.25">
      <c r="B6" s="190"/>
      <c r="C6" s="70" t="str">
        <f>tech!U4</f>
        <v>ОК1, млн грн</v>
      </c>
      <c r="D6" s="70" t="str">
        <f>tech!U5</f>
        <v>К1, млн грн</v>
      </c>
      <c r="E6" s="70" t="str">
        <f>tech!U6</f>
        <v>РК, млн грн</v>
      </c>
      <c r="F6" s="70" t="str">
        <f>tech!U7</f>
        <v>НРК</v>
      </c>
      <c r="G6" s="70" t="str">
        <f>tech!U8</f>
        <v>НК1</v>
      </c>
      <c r="H6" s="70" t="str">
        <f>tech!U9</f>
        <v>НОК1</v>
      </c>
      <c r="I6" s="70" t="str">
        <f>C6</f>
        <v>ОК1, млн грн</v>
      </c>
      <c r="J6" s="70" t="str">
        <f t="shared" ref="J6:O6" si="0">D6</f>
        <v>К1, млн грн</v>
      </c>
      <c r="K6" s="70" t="str">
        <f t="shared" si="0"/>
        <v>РК, млн грн</v>
      </c>
      <c r="L6" s="70" t="str">
        <f t="shared" si="0"/>
        <v>НРК</v>
      </c>
      <c r="M6" s="70" t="str">
        <f t="shared" si="0"/>
        <v>НК1</v>
      </c>
      <c r="N6" s="70" t="str">
        <f t="shared" si="0"/>
        <v>НОК1</v>
      </c>
      <c r="O6" s="70" t="str">
        <f t="shared" si="0"/>
        <v>ОК1, млн грн</v>
      </c>
      <c r="P6" s="70" t="str">
        <f t="shared" ref="P6" si="1">J6</f>
        <v>К1, млн грн</v>
      </c>
      <c r="Q6" s="70" t="str">
        <f t="shared" ref="Q6" si="2">K6</f>
        <v>РК, млн грн</v>
      </c>
      <c r="R6" s="70" t="str">
        <f t="shared" ref="R6" si="3">L6</f>
        <v>НРК</v>
      </c>
      <c r="S6" s="70" t="str">
        <f t="shared" ref="S6" si="4">M6</f>
        <v>НК1</v>
      </c>
      <c r="T6" s="70" t="str">
        <f t="shared" ref="T6" si="5">N6</f>
        <v>НОК1</v>
      </c>
      <c r="U6" s="182"/>
      <c r="V6" s="182"/>
      <c r="W6" s="182"/>
    </row>
    <row r="7" spans="1:24" x14ac:dyDescent="0.25">
      <c r="A7" s="55"/>
      <c r="B7" s="65" t="str">
        <f>IF($J$1="ENG","Bank's data as of 1 Jan ","Дані банку на 1 січня")</f>
        <v>Дані банку на 1 січня</v>
      </c>
      <c r="C7" s="78">
        <f>IFERROR(INDEX('Data table'!$B$10:$CB$30,MATCH($K$2,'Data table'!$B$10:$B$30,0),MATCH(5,'Data table'!$B$3:$CB$3,0)),"")</f>
        <v>13016</v>
      </c>
      <c r="D7" s="78">
        <f>IFERROR(INDEX('Data table'!$B$10:$CB$30,MATCH($K$2,'Data table'!$B$10:$B$30,0),MATCH(6,'Data table'!$B$3:$CB$3,0)),"")</f>
        <v>13016</v>
      </c>
      <c r="E7" s="78">
        <f>IFERROR(INDEX('Data table'!$B$10:$CB$30,MATCH($K$2,'Data table'!$B$10:$B$30,0),MATCH(7,'Data table'!$B$3:$CB$3,0)),"")</f>
        <v>13016</v>
      </c>
      <c r="F7" s="79">
        <f>IFERROR(INDEX('Data table'!$B$10:$CB$30,MATCH($K$2,'Data table'!$B$10:$B$30,0),MATCH(8,'Data table'!$B$3:$CB$3,0)),"")</f>
        <v>0.16370000000000001</v>
      </c>
      <c r="G7" s="79">
        <f>IFERROR(INDEX('Data table'!$B$10:$CB$30,MATCH($K$2,'Data table'!$B$10:$B$30,0),MATCH(9,'Data table'!$B$3:$CB$3,0)),"")</f>
        <v>0.16370000000000001</v>
      </c>
      <c r="H7" s="79">
        <f>IFERROR(INDEX('Data table'!$B$10:$CB$30,MATCH($K$2,'Data table'!$B$10:$B$30,0),MATCH(10,'Data table'!$B$3:$CB$3,0)),"")</f>
        <v>0.16370000000000001</v>
      </c>
      <c r="I7" s="78">
        <f ca="1">SUM(INDIRECT(CONCATENATE("'Data table'!",MID(ADDRESS(1,MATCH(5,'Data table'!$A$3:$CB$3,0),4),1,LEN(ADDRESS(1,MATCH(5,'Data table'!$A$3:$CB$3,0),4))-1),"10:",MID(ADDRESS(1,MATCH(5,'Data table'!$A$3:$CB$3,0),4),1,LEN(ADDRESS(1,MATCH(5,'Data table'!$A$3:$CB$3,0),4))-1),"30")))</f>
        <v>236550</v>
      </c>
      <c r="J7" s="78">
        <f ca="1">SUM(INDIRECT(CONCATENATE("'Data table'!",MID(ADDRESS(1,MATCH(6,'Data table'!$A$3:$CB$3,0),4),1,LEN(ADDRESS(1,MATCH(6,'Data table'!$A$3:$CB$3,0),4))-1),"10:",MID(ADDRESS(1,MATCH(6,'Data table'!$A$3:$CB$3,0),4),1,LEN(ADDRESS(1,MATCH(6,'Data table'!$A$3:$CB$3,0),4))-1),"30")))</f>
        <v>236550</v>
      </c>
      <c r="K7" s="78">
        <f ca="1">SUM(INDIRECT(CONCATENATE("'Data table'!",MID(ADDRESS(1,MATCH(7,'Data table'!$A$3:$CB$3,0),4),1,LEN(ADDRESS(1,MATCH(7,'Data table'!$A$3:$CB$3,0),4))-1),"10:",MID(ADDRESS(1,MATCH(7,'Data table'!$A$3:$CB$3,0),4),1,LEN(ADDRESS(1,MATCH(7,'Data table'!$A$3:$CB$3,0),4))-1),"30")))</f>
        <v>242484</v>
      </c>
      <c r="L7" s="79">
        <f ca="1">K7/SUM(INDIRECT(CONCATENATE("'Data table'!",MID(ADDRESS(1,MATCH(11,'Data table'!$A$3:$CB$3,0),4),1,LEN(ADDRESS(1,MATCH(11,'Data table'!$A$3:$CB$3,0),4))-1),"10:",MID(ADDRESS(1,MATCH(11,'Data table'!$A$3:$CB$3,0),4),1,LEN(ADDRESS(1,MATCH(11,'Data table'!$A$3:$CB$3,0),4))-1),"30")))</f>
        <v>0.16668763288630603</v>
      </c>
      <c r="M7" s="79">
        <f ca="1">J7/SUM(INDIRECT(CONCATENATE("'Data table'!",MID(ADDRESS(1,MATCH(11,'Data table'!$A$3:$CB$3,0),4),1,LEN(ADDRESS(1,MATCH(11,'Data table'!$A$3:$CB$3,0),4))-1),"10:",MID(ADDRESS(1,MATCH(11,'Data table'!$A$3:$CB$3,0),4),1,LEN(ADDRESS(1,MATCH(11,'Data table'!$A$3:$CB$3,0),4))-1),"30")))</f>
        <v>0.16260850018663373</v>
      </c>
      <c r="N7" s="79">
        <f ca="1">I7/SUM(INDIRECT(CONCATENATE("'Data table'!",MID(ADDRESS(1,MATCH(11,'Data table'!$A$3:$CB$3,0),4),1,LEN(ADDRESS(1,MATCH(11,'Data table'!$A$3:$CB$3,0),4))-1),"10:",MID(ADDRESS(1,MATCH(11,'Data table'!$A$3:$CB$3,0),4),1,LEN(ADDRESS(1,MATCH(11,'Data table'!$A$3:$CB$3,0),4))-1),"30")))</f>
        <v>0.16260850018663373</v>
      </c>
      <c r="O7" s="78">
        <f ca="1">IF($O$5="","",SUMIF('Data table'!$D$10:$D$30,$O$5,INDIRECT(CONCATENATE("'Data table'!",MID(ADDRESS(1,MATCH(5,'Data table'!$A$3:$CB$3,0),4),1,LEN(ADDRESS(1,MATCH(5,'Data table'!$A$3:$CB$3,0),4))-1),"10:",MID(ADDRESS(1,MATCH(5,'Data table'!$A$3:$CB$3,0),4),1,LEN(ADDRESS(1,MATCH(5,'Data table'!$A$3:$CB$3,0),4))-1),"30"))))</f>
        <v>119201</v>
      </c>
      <c r="P7" s="78">
        <f ca="1">IF($O$5="","",SUMIF('Data table'!$D$10:$D$30,$O$5,INDIRECT(CONCATENATE("'Data table'!",MID(ADDRESS(1,MATCH(6,'Data table'!$A$3:$CB$3,0),4),1,LEN(ADDRESS(1,MATCH(6,'Data table'!$A$3:$CB$3,0),4))-1),"10:",MID(ADDRESS(1,MATCH(6,'Data table'!$A$3:$CB$3,0),4),1,LEN(ADDRESS(1,MATCH(6,'Data table'!$A$3:$CB$3,0),4))-1),"30"))))</f>
        <v>119201</v>
      </c>
      <c r="Q7" s="78">
        <f ca="1">IF($O$5="","",SUMIF('Data table'!$D$10:$D$30,$O$5,INDIRECT(CONCATENATE("'Data table'!",MID(ADDRESS(1,MATCH(7,'Data table'!$A$3:$CB$3,0),4),1,LEN(ADDRESS(1,MATCH(7,'Data table'!$A$3:$CB$3,0),4))-1),"10:",MID(ADDRESS(1,MATCH(7,'Data table'!$A$3:$CB$3,0),4),1,LEN(ADDRESS(1,MATCH(7,'Data table'!$A$3:$CB$3,0),4))-1),"30"))))</f>
        <v>122564</v>
      </c>
      <c r="R7" s="79">
        <f ca="1">IF($O$5="","",Q7/SUMIF('Data table'!$D$10:$D$30,$O$5,INDIRECT(CONCATENATE("'Data table'!",MID(ADDRESS(1,MATCH(11,'Data table'!$A$3:$CB$3,0),4),1,LEN(ADDRESS(1,MATCH(11,'Data table'!$A$3:$CB$3,0),4))-1),"10:",MID(ADDRESS(1,MATCH(11,'Data table'!$A$3:$CB$3,0),4),1,LEN(ADDRESS(1,MATCH(11,'Data table'!$A$3:$CB$3,0),4))-1),"30"))))</f>
        <v>0.1466036221491514</v>
      </c>
      <c r="S7" s="79">
        <f ca="1">IF($O$5="","",P7/SUMIF('Data table'!$D$10:$D$30,$O$5,INDIRECT(CONCATENATE("'Data table'!",MID(ADDRESS(1,MATCH(11,'Data table'!$A$3:$CB$3,0),4),1,LEN(ADDRESS(1,MATCH(11,'Data table'!$A$3:$CB$3,0),4))-1),"10:",MID(ADDRESS(1,MATCH(11,'Data table'!$A$3:$CB$3,0),4),1,LEN(ADDRESS(1,MATCH(11,'Data table'!$A$3:$CB$3,0),4))-1),"30"))))</f>
        <v>0.14258100554649814</v>
      </c>
      <c r="T7" s="79">
        <f ca="1">IF($O$5="","",O7/SUMIF('Data table'!$D$10:$D$30,$O$5,INDIRECT(CONCATENATE("'Data table'!",MID(ADDRESS(1,MATCH(11,'Data table'!$A$3:$CB$3,0),4),1,LEN(ADDRESS(1,MATCH(11,'Data table'!$A$3:$CB$3,0),4))-1),"10:",MID(ADDRESS(1,MATCH(11,'Data table'!$A$3:$CB$3,0),4),1,LEN(ADDRESS(1,MATCH(11,'Data table'!$A$3:$CB$3,0),4))-1),"30"))))</f>
        <v>0.14258100554649814</v>
      </c>
      <c r="U7" s="84">
        <v>0.1</v>
      </c>
      <c r="V7" s="93">
        <v>7.4999999999999997E-2</v>
      </c>
      <c r="W7" s="94">
        <v>5.6250000000000001E-2</v>
      </c>
      <c r="X7" s="85"/>
    </row>
    <row r="8" spans="1:24" ht="22.5" customHeight="1" x14ac:dyDescent="0.25">
      <c r="A8" s="55"/>
      <c r="B8" s="65" t="str">
        <f>IF($J$1="ENG","Adjusted bank's data","Скориговані дані банку")</f>
        <v>Скориговані дані банку</v>
      </c>
      <c r="C8" s="78">
        <f>IFERROR(INDEX('Data table'!$B$10:$CB$30,MATCH($K$2,'Data table'!$B$10:$B$30,0),MATCH(12,'Data table'!$B$3:$CB$3,0)),"")</f>
        <v>11545</v>
      </c>
      <c r="D8" s="78">
        <f>IFERROR(INDEX('Data table'!$B$10:$CB$30,MATCH($K$2,'Data table'!$B$10:$B$30,0),MATCH(13,'Data table'!$B$3:$CB$3,0)),"")</f>
        <v>11545</v>
      </c>
      <c r="E8" s="78">
        <f>IFERROR(INDEX('Data table'!$B$10:$CB$30,MATCH($K$2,'Data table'!$B$10:$B$30,0),MATCH(14,'Data table'!$B$3:$CB$3,0)),"")</f>
        <v>11545</v>
      </c>
      <c r="F8" s="79">
        <f>IFERROR(INDEX('Data table'!$B$10:$CB$30,MATCH($K$2,'Data table'!$B$10:$B$30,0),MATCH(15,'Data table'!$B$3:$CB$3,0)),"")</f>
        <v>0.1477</v>
      </c>
      <c r="G8" s="79">
        <f>IFERROR(INDEX('Data table'!$B$10:$CB$30,MATCH($K$2,'Data table'!$B$10:$B$30,0),MATCH(16,'Data table'!$B$3:$CB$3,0)),"")</f>
        <v>0.1477</v>
      </c>
      <c r="H8" s="79">
        <f>IFERROR(INDEX('Data table'!$B$10:$CB$30,MATCH($K$2,'Data table'!$B$10:$B$30,0),MATCH(17,'Data table'!$B$3:$CB$3,0)),"")</f>
        <v>0.1477</v>
      </c>
      <c r="I8" s="78">
        <f ca="1">SUM(INDIRECT(CONCATENATE("'Data table'!",MID(ADDRESS(1,MATCH(12,'Data table'!$A$3:$CB$3,0),4),1,LEN(ADDRESS(1,MATCH(12,'Data table'!$A$3:$CB$3,0),4))-1),"10:",MID(ADDRESS(1,MATCH(12,'Data table'!$A$3:$CB$3,0),4),1,LEN(ADDRESS(1,MATCH(12,'Data table'!$A$3:$CB$3,0),4))-1),"30")))</f>
        <v>223692</v>
      </c>
      <c r="J8" s="78">
        <f ca="1">SUM(INDIRECT(CONCATENATE("'Data table'!",MID(ADDRESS(1,MATCH(13,'Data table'!$A$3:$CB$3,0),4),1,LEN(ADDRESS(1,MATCH(13,'Data table'!$A$3:$CB$3,0),4))-1),"10:",MID(ADDRESS(1,MATCH(13,'Data table'!$A$3:$CB$3,0),4),1,LEN(ADDRESS(1,MATCH(13,'Data table'!$A$3:$CB$3,0),4))-1),"30")))</f>
        <v>223692</v>
      </c>
      <c r="K8" s="78">
        <f ca="1">SUM(INDIRECT(CONCATENATE("'Data table'!",MID(ADDRESS(1,MATCH(14,'Data table'!$A$3:$CB$3,0),4),1,LEN(ADDRESS(1,MATCH(14,'Data table'!$A$3:$CB$3,0),4))-1),"10:",MID(ADDRESS(1,MATCH(14,'Data table'!$A$3:$CB$3,0),4),1,LEN(ADDRESS(1,MATCH(14,'Data table'!$A$3:$CB$3,0),4))-1),"30")))</f>
        <v>229627</v>
      </c>
      <c r="L8" s="79">
        <f ca="1">K8/SUM(INDIRECT(CONCATENATE("'Data table'!",MID(ADDRESS(1,MATCH(18,'Data table'!$A$3:$CB$3,0),4),1,LEN(ADDRESS(1,MATCH(18,'Data table'!$A$3:$CB$3,0),4))-1),"10:",MID(ADDRESS(1,MATCH(18,'Data table'!$A$3:$CB$3,0),4),1,LEN(ADDRESS(1,MATCH(18,'Data table'!$A$3:$CB$3,0),4))-1),"30")))</f>
        <v>0.15916542246657989</v>
      </c>
      <c r="M8" s="79">
        <f ca="1">J8/SUM(INDIRECT(CONCATENATE("'Data table'!",MID(ADDRESS(1,MATCH(18,'Data table'!$A$3:$CB$3,0),4),1,LEN(ADDRESS(1,MATCH(18,'Data table'!$A$3:$CB$3,0),4))-1),"10:",MID(ADDRESS(1,MATCH(18,'Data table'!$A$3:$CB$3,0),4),1,LEN(ADDRESS(1,MATCH(18,'Data table'!$A$3:$CB$3,0),4))-1),"30")))</f>
        <v>0.15505159098187141</v>
      </c>
      <c r="N8" s="79">
        <f ca="1">I8/SUM(INDIRECT(CONCATENATE("'Data table'!",MID(ADDRESS(1,MATCH(18,'Data table'!$A$3:$CB$3,0),4),1,LEN(ADDRESS(1,MATCH(18,'Data table'!$A$3:$CB$3,0),4))-1),"10:",MID(ADDRESS(1,MATCH(18,'Data table'!$A$3:$CB$3,0),4),1,LEN(ADDRESS(1,MATCH(18,'Data table'!$A$3:$CB$3,0),4))-1),"30")))</f>
        <v>0.15505159098187141</v>
      </c>
      <c r="O8" s="78">
        <f ca="1">IF($O$5="","",SUMIF('Data table'!$D$10:$D$30,$O$5,INDIRECT(CONCATENATE("'Data table'!",MID(ADDRESS(1,MATCH(12,'Data table'!$A$3:$CB$3,0),4),1,LEN(ADDRESS(1,MATCH(12,'Data table'!$A$3:$CB$3,0),4))-1),"10:",MID(ADDRESS(1,MATCH(12,'Data table'!$A$3:$CB$3,0),4),1,LEN(ADDRESS(1,MATCH(12,'Data table'!$A$3:$CB$3,0),4))-1),"30"))))</f>
        <v>109753</v>
      </c>
      <c r="P8" s="78">
        <f ca="1">IF($O$5="","",SUMIF('Data table'!$D$10:$D$30,$O$5,INDIRECT(CONCATENATE("'Data table'!",MID(ADDRESS(1,MATCH(13,'Data table'!$A$3:$CB$3,0),4),1,LEN(ADDRESS(1,MATCH(13,'Data table'!$A$3:$CB$3,0),4))-1),"10:",MID(ADDRESS(1,MATCH(13,'Data table'!$A$3:$CB$3,0),4),1,LEN(ADDRESS(1,MATCH(13,'Data table'!$A$3:$CB$3,0),4))-1),"30"))))</f>
        <v>109753</v>
      </c>
      <c r="Q8" s="78">
        <f ca="1">IF($O$5="","",SUMIF('Data table'!$D$10:$D$30,$O$5,INDIRECT(CONCATENATE("'Data table'!",MID(ADDRESS(1,MATCH(14,'Data table'!$A$3:$CB$3,0),4),1,LEN(ADDRESS(1,MATCH(14,'Data table'!$A$3:$CB$3,0),4))-1),"10:",MID(ADDRESS(1,MATCH(14,'Data table'!$A$3:$CB$3,0),4),1,LEN(ADDRESS(1,MATCH(14,'Data table'!$A$3:$CB$3,0),4))-1),"30"))))</f>
        <v>113117</v>
      </c>
      <c r="R8" s="79">
        <f ca="1">IF($O$5="","",Q8/SUMIF('Data table'!$D$10:$D$30,$O$5,INDIRECT(CONCATENATE("'Data table'!",MID(ADDRESS(1,MATCH(18,'Data table'!$A$3:$CB$3,0),4),1,LEN(ADDRESS(1,MATCH(18,'Data table'!$A$3:$CB$3,0),4))-1),"10:",MID(ADDRESS(1,MATCH(18,'Data table'!$A$3:$CB$3,0),4),1,LEN(ADDRESS(1,MATCH(18,'Data table'!$A$3:$CB$3,0),4))-1),"30"))))</f>
        <v>0.13745256411970064</v>
      </c>
      <c r="S8" s="79">
        <f ca="1">IF($O$5="","",P8/SUMIF('Data table'!$D$10:$D$30,$O$5,INDIRECT(CONCATENATE("'Data table'!",MID(ADDRESS(1,MATCH(18,'Data table'!$A$3:$CB$3,0),4),1,LEN(ADDRESS(1,MATCH(18,'Data table'!$A$3:$CB$3,0),4))-1),"10:",MID(ADDRESS(1,MATCH(18,'Data table'!$A$3:$CB$3,0),4),1,LEN(ADDRESS(1,MATCH(18,'Data table'!$A$3:$CB$3,0),4))-1),"30"))))</f>
        <v>0.1333648458660458</v>
      </c>
      <c r="T8" s="79">
        <f ca="1">IF($O$5="","",O8/SUMIF('Data table'!$D$10:$D$30,$O$5,INDIRECT(CONCATENATE("'Data table'!",MID(ADDRESS(1,MATCH(18,'Data table'!$A$3:$CB$3,0),4),1,LEN(ADDRESS(1,MATCH(18,'Data table'!$A$3:$CB$3,0),4))-1),"10:",MID(ADDRESS(1,MATCH(18,'Data table'!$A$3:$CB$3,0),4),1,LEN(ADDRESS(1,MATCH(18,'Data table'!$A$3:$CB$3,0),4))-1),"30"))))</f>
        <v>0.1333648458660458</v>
      </c>
      <c r="U8" s="84">
        <v>0.1</v>
      </c>
      <c r="V8" s="93">
        <v>7.4999999999999997E-2</v>
      </c>
      <c r="W8" s="94">
        <v>5.6250000000000001E-2</v>
      </c>
      <c r="X8" s="85"/>
    </row>
    <row r="9" spans="1:24" x14ac:dyDescent="0.25">
      <c r="A9" s="55"/>
      <c r="B9" s="62" t="str">
        <f>IF($J$1="ENG","AQR as of 1 Jan ","AQR на 01 січня")</f>
        <v>AQR на 01 січня</v>
      </c>
      <c r="C9" s="63">
        <f>IFERROR(INDEX('Data table'!$B$10:$CB$30,MATCH($K$2,'Data table'!$B$10:$B$30,0),MATCH(20,'Data table'!$B$3:$CB$3,0)),"")</f>
        <v>11545</v>
      </c>
      <c r="D9" s="63">
        <f>IFERROR(INDEX('Data table'!$B$10:$CB$30,MATCH($K$2,'Data table'!$B$10:$B$30,0),MATCH(21,'Data table'!$B$3:$CB$3,0)),"")</f>
        <v>11545</v>
      </c>
      <c r="E9" s="63">
        <f>IFERROR(INDEX('Data table'!$B$10:$CB$30,MATCH($K$2,'Data table'!$B$10:$B$30,0),MATCH(22,'Data table'!$B$3:$CB$3,0)),"")</f>
        <v>11545</v>
      </c>
      <c r="F9" s="61">
        <f>IFERROR(INDEX('Data table'!$B$10:$CB$30,MATCH($K$2,'Data table'!$B$10:$B$30,0),MATCH(23,'Data table'!$B$3:$CB$3,0)),"")</f>
        <v>0.1477</v>
      </c>
      <c r="G9" s="61">
        <f>IFERROR(INDEX('Data table'!$B$10:$CB$30,MATCH($K$2,'Data table'!$B$10:$B$30,0),MATCH(24,'Data table'!$B$3:$CB$3,0)),"")</f>
        <v>0.1477</v>
      </c>
      <c r="H9" s="61">
        <f>IFERROR(INDEX('Data table'!$B$10:$CB$30,MATCH($K$2,'Data table'!$B$10:$B$30,0),MATCH(25,'Data table'!$B$3:$CB$3,0)),"")</f>
        <v>0.1477</v>
      </c>
      <c r="I9" s="78">
        <f ca="1">SUM(INDIRECT(CONCATENATE("'Data table'!",MID(ADDRESS(1,MATCH(20,'Data table'!$A$3:$CB$3,0),4),1,LEN(ADDRESS(1,MATCH(20,'Data table'!$A$3:$CB$3,0),4))-1),"10:",MID(ADDRESS(1,MATCH(20,'Data table'!$A$3:$CB$3,0),4),1,LEN(ADDRESS(1,MATCH(20,'Data table'!$A$3:$CB$3,0),4))-1),"30")))</f>
        <v>223685</v>
      </c>
      <c r="J9" s="78">
        <f ca="1">SUM(INDIRECT(CONCATENATE("'Data table'!",MID(ADDRESS(1,MATCH(21,'Data table'!$A$3:$CB$3,0),4),1,LEN(ADDRESS(1,MATCH(21,'Data table'!$A$3:$CB$3,0),4))-1),"10:",MID(ADDRESS(1,MATCH(21,'Data table'!$A$3:$CB$3,0),4),1,LEN(ADDRESS(1,MATCH(21,'Data table'!$A$3:$CB$3,0),4))-1),"30")))</f>
        <v>223685</v>
      </c>
      <c r="K9" s="78">
        <f ca="1">SUM(INDIRECT(CONCATENATE("'Data table'!",MID(ADDRESS(1,MATCH(22,'Data table'!$A$3:$CB$3,0),4),1,LEN(ADDRESS(1,MATCH(22,'Data table'!$A$3:$CB$3,0),4))-1),"10:",MID(ADDRESS(1,MATCH(22,'Data table'!$A$3:$CB$3,0),4),1,LEN(ADDRESS(1,MATCH(22,'Data table'!$A$3:$CB$3,0),4))-1),"30")))</f>
        <v>229620</v>
      </c>
      <c r="L9" s="79">
        <f ca="1">K9/SUM(INDIRECT(CONCATENATE("'Data table'!",MID(ADDRESS(1,MATCH(26,'Data table'!$A$3:$CB$3,0),4),1,LEN(ADDRESS(1,MATCH(26,'Data table'!$A$3:$CB$3,0),4))-1),"10:",MID(ADDRESS(1,MATCH(26,'Data table'!$A$3:$CB$3,0),4),1,LEN(ADDRESS(1,MATCH(26,'Data table'!$A$3:$CB$3,0),4))-1),"30")))</f>
        <v>0.15916145301195131</v>
      </c>
      <c r="M9" s="79">
        <f ca="1">J9/SUM(INDIRECT(CONCATENATE("'Data table'!",MID(ADDRESS(1,MATCH(26,'Data table'!$A$3:$CB$3,0),4),1,LEN(ADDRESS(1,MATCH(26,'Data table'!$A$3:$CB$3,0),4))-1),"10:",MID(ADDRESS(1,MATCH(26,'Data table'!$A$3:$CB$3,0),4),1,LEN(ADDRESS(1,MATCH(26,'Data table'!$A$3:$CB$3,0),4))-1),"30")))</f>
        <v>0.15504759871517435</v>
      </c>
      <c r="N9" s="79">
        <f ca="1">I9/SUM(INDIRECT(CONCATENATE("'Data table'!",MID(ADDRESS(1,MATCH(26,'Data table'!$A$3:$CB$3,0),4),1,LEN(ADDRESS(1,MATCH(26,'Data table'!$A$3:$CB$3,0),4))-1),"10:",MID(ADDRESS(1,MATCH(26,'Data table'!$A$3:$CB$3,0),4),1,LEN(ADDRESS(1,MATCH(26,'Data table'!$A$3:$CB$3,0),4))-1),"30")))</f>
        <v>0.15504759871517435</v>
      </c>
      <c r="O9" s="78">
        <f ca="1">IF($O$5="","",SUMIF('Data table'!$D$10:$D$30,$O$5,INDIRECT(CONCATENATE("'Data table'!",MID(ADDRESS(1,MATCH(20,'Data table'!$A$3:$CB$3,0),4),1,LEN(ADDRESS(1,MATCH(20,'Data table'!$A$3:$CB$3,0),4))-1),"10:",MID(ADDRESS(1,MATCH(20,'Data table'!$A$3:$CB$3,0),4),1,LEN(ADDRESS(1,MATCH(20,'Data table'!$A$3:$CB$3,0),4))-1),"30"))))</f>
        <v>109753</v>
      </c>
      <c r="P9" s="78">
        <f ca="1">IF($O$5="","",SUMIF('Data table'!$D$10:$D$30,$O$5,INDIRECT(CONCATENATE("'Data table'!",MID(ADDRESS(1,MATCH(21,'Data table'!$A$3:$CB$3,0),4),1,LEN(ADDRESS(1,MATCH(21,'Data table'!$A$3:$CB$3,0),4))-1),"10:",MID(ADDRESS(1,MATCH(21,'Data table'!$A$3:$CB$3,0),4),1,LEN(ADDRESS(1,MATCH(21,'Data table'!$A$3:$CB$3,0),4))-1),"30"))))</f>
        <v>109753</v>
      </c>
      <c r="Q9" s="78">
        <f ca="1">IF($O$5="","",SUMIF('Data table'!$D$10:$D$30,$O$5,INDIRECT(CONCATENATE("'Data table'!",MID(ADDRESS(1,MATCH(22,'Data table'!$A$3:$CB$3,0),4),1,LEN(ADDRESS(1,MATCH(22,'Data table'!$A$3:$CB$3,0),4))-1),"10:",MID(ADDRESS(1,MATCH(22,'Data table'!$A$3:$CB$3,0),4),1,LEN(ADDRESS(1,MATCH(22,'Data table'!$A$3:$CB$3,0),4))-1),"30"))))</f>
        <v>113117</v>
      </c>
      <c r="R9" s="79">
        <f ca="1">IF($O$5="","",Q9/SUMIF('Data table'!$D$10:$D$30,$O$5,INDIRECT(CONCATENATE("'Data table'!",MID(ADDRESS(1,MATCH(26,'Data table'!$A$3:$CB$3,0),4),1,LEN(ADDRESS(1,MATCH(26,'Data table'!$A$3:$CB$3,0),4))-1),"10:",MID(ADDRESS(1,MATCH(26,'Data table'!$A$3:$CB$3,0),4),1,LEN(ADDRESS(1,MATCH(26,'Data table'!$A$3:$CB$3,0),4))-1),"30"))))</f>
        <v>0.13745256411970064</v>
      </c>
      <c r="S9" s="79">
        <f ca="1">IF($O$5="","",P9/SUMIF('Data table'!$D$10:$D$30,$O$5,INDIRECT(CONCATENATE("'Data table'!",MID(ADDRESS(1,MATCH(26,'Data table'!$A$3:$CB$3,0),4),1,LEN(ADDRESS(1,MATCH(26,'Data table'!$A$3:$CB$3,0),4))-1),"10:",MID(ADDRESS(1,MATCH(26,'Data table'!$A$3:$CB$3,0),4),1,LEN(ADDRESS(1,MATCH(26,'Data table'!$A$3:$CB$3,0),4))-1),"30"))))</f>
        <v>0.1333648458660458</v>
      </c>
      <c r="T9" s="79">
        <f ca="1">IF($O$5="","",O9/SUMIF('Data table'!$D$10:$D$30,$O$5,INDIRECT(CONCATENATE("'Data table'!",MID(ADDRESS(1,MATCH(26,'Data table'!$A$3:$CB$3,0),4),1,LEN(ADDRESS(1,MATCH(26,'Data table'!$A$3:$CB$3,0),4))-1),"10:",MID(ADDRESS(1,MATCH(26,'Data table'!$A$3:$CB$3,0),4),1,LEN(ADDRESS(1,MATCH(26,'Data table'!$A$3:$CB$3,0),4))-1),"30"))))</f>
        <v>0.1333648458660458</v>
      </c>
      <c r="U9" s="86">
        <v>0.1</v>
      </c>
      <c r="V9" s="93">
        <v>7.4999999999999997E-2</v>
      </c>
      <c r="W9" s="94">
        <v>5.6250000000000001E-2</v>
      </c>
      <c r="X9" s="85"/>
    </row>
    <row r="10" spans="1:24" ht="13.35" customHeight="1" x14ac:dyDescent="0.3">
      <c r="B10" s="87" t="str">
        <f>IF($J$1="ENG","Forecast year","Прогнозний рік")</f>
        <v>Прогнозний рік</v>
      </c>
      <c r="C10" s="186" t="str">
        <f>IF($J$1="ENG","Baseline scenario","За базовим макроекономічним сценарієм")</f>
        <v>За базовим макроекономічним сценарієм</v>
      </c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202"/>
      <c r="W10" s="202"/>
    </row>
    <row r="11" spans="1:24" x14ac:dyDescent="0.25">
      <c r="B11" s="65" t="str">
        <f>IF($J$1="ENG","1st year","1-й рік")</f>
        <v>1-й рік</v>
      </c>
      <c r="C11" s="63">
        <f>IFERROR(INDEX('Data table'!$B$10:$CB$30,MATCH($K$2,'Data table'!$B$10:$B$30,0),MATCH(27,'Data table'!$B$3:$CB$3,0)),"")</f>
        <v>14801</v>
      </c>
      <c r="D11" s="63">
        <f>IFERROR(INDEX('Data table'!$B$10:$CB$30,MATCH($K$2,'Data table'!$B$10:$B$30,0),MATCH(30,'Data table'!$B$3:$CB$3,0)),"")</f>
        <v>14801</v>
      </c>
      <c r="E11" s="63">
        <f>IFERROR(INDEX('Data table'!$B$10:$CB$30,MATCH($K$2,'Data table'!$B$10:$B$30,0),MATCH(33,'Data table'!$B$3:$CB$3,0)),"")</f>
        <v>14801</v>
      </c>
      <c r="F11" s="61">
        <f>IFERROR(INDEX('Data table'!$B$10:$CB$30,MATCH($K$2,'Data table'!$B$10:$B$30,0),MATCH(36,'Data table'!$B$3:$CB$3,0)),"")</f>
        <v>0.18099999999999999</v>
      </c>
      <c r="G11" s="61">
        <f>IFERROR(INDEX('Data table'!$B$10:$CB$30,MATCH($K$2,'Data table'!$B$10:$B$30,0),MATCH(39,'Data table'!$B$3:$CB$3,0)),"")</f>
        <v>0.18099999999999999</v>
      </c>
      <c r="H11" s="61">
        <f>IFERROR(INDEX('Data table'!$B$10:$CB$30,MATCH($K$2,'Data table'!$B$10:$B$30,0),MATCH(42,'Data table'!$B$3:$CB$3,0)),"")</f>
        <v>0.18099999999999999</v>
      </c>
      <c r="I11" s="78">
        <f ca="1">SUM(INDIRECT(CONCATENATE("'Data table'!",MID(ADDRESS(1,MATCH(27,'Data table'!$A$3:$CB$3,0),4),1,LEN(ADDRESS(1,MATCH(27,'Data table'!$A$3:$CB$3,0),4))-1),"10:",MID(ADDRESS(1,MATCH(27,'Data table'!$A$3:$CB$3,0),4),1,LEN(ADDRESS(1,MATCH(27,'Data table'!$A$3:$CB$3,0),4))-1),"30")))</f>
        <v>345057</v>
      </c>
      <c r="J11" s="78">
        <f ca="1">SUM(INDIRECT(CONCATENATE("'Data table'!",MID(ADDRESS(1,MATCH(30,'Data table'!$A$3:$CB$3,0),4),1,LEN(ADDRESS(1,MATCH(30,'Data table'!$A$3:$CB$3,0),4))-1),"10:",MID(ADDRESS(1,MATCH(30,'Data table'!$A$3:$CB$3,0),4),1,LEN(ADDRESS(1,MATCH(30,'Data table'!$A$3:$CB$3,0),4))-1),"30")))</f>
        <v>345057</v>
      </c>
      <c r="K11" s="78">
        <f ca="1">SUM(INDIRECT(CONCATENATE("'Data table'!",MID(ADDRESS(1,MATCH(33,'Data table'!$A$3:$CB$3,0),4),1,LEN(ADDRESS(1,MATCH(33,'Data table'!$A$3:$CB$3,0),4))-1),"10:",MID(ADDRESS(1,MATCH(33,'Data table'!$A$3:$CB$3,0),4),1,LEN(ADDRESS(1,MATCH(33,'Data table'!$A$3:$CB$3,0),4))-1),"30")))</f>
        <v>350121</v>
      </c>
      <c r="L11" s="79">
        <f ca="1">K11/SUM(INDIRECT(CONCATENATE("'Data table'!",MID(ADDRESS(1,MATCH(45,'Data table'!$A$3:$CB$3,0),4),1,LEN(ADDRESS(1,MATCH(45,'Data table'!$A$3:$CB$3,0),4))-1),"10:",MID(ADDRESS(1,MATCH(45,'Data table'!$A$3:$CB$3,0),4),1,LEN(ADDRESS(1,MATCH(45,'Data table'!$A$3:$CB$3,0),4))-1),"30")))</f>
        <v>0.23068575645367453</v>
      </c>
      <c r="M11" s="79">
        <f ca="1">J11/SUM(INDIRECT(CONCATENATE("'Data table'!",MID(ADDRESS(1,MATCH(45,'Data table'!$A$3:$CB$3,0),4),1,LEN(ADDRESS(1,MATCH(45,'Data table'!$A$3:$CB$3,0),4))-1),"10:",MID(ADDRESS(1,MATCH(45,'Data table'!$A$3:$CB$3,0),4),1,LEN(ADDRESS(1,MATCH(45,'Data table'!$A$3:$CB$3,0),4))-1),"30")))</f>
        <v>0.22734921659836335</v>
      </c>
      <c r="N11" s="79">
        <f ca="1">I11/SUM(INDIRECT(CONCATENATE("'Data table'!",MID(ADDRESS(1,MATCH(45,'Data table'!$A$3:$CB$3,0),4),1,LEN(ADDRESS(1,MATCH(45,'Data table'!$A$3:$CB$3,0),4))-1),"10:",MID(ADDRESS(1,MATCH(45,'Data table'!$A$3:$CB$3,0),4),1,LEN(ADDRESS(1,MATCH(45,'Data table'!$A$3:$CB$3,0),4))-1),"30")))</f>
        <v>0.22734921659836335</v>
      </c>
      <c r="O11" s="78">
        <f ca="1">IF($O$5="","",SUMIF('Data table'!$D$10:$D$30,$O$5,INDIRECT(CONCATENATE("'Data table'!",MID(ADDRESS(1,MATCH(27,'Data table'!$A$3:$CB$3,0),4),1,LEN(ADDRESS(1,MATCH(27,'Data table'!$A$3:$CB$3,0),4))-1),"10:",MID(ADDRESS(1,MATCH(27,'Data table'!$A$3:$CB$3,0),4),1,LEN(ADDRESS(1,MATCH(27,'Data table'!$A$3:$CB$3,0),4))-1),"30"))))</f>
        <v>182474</v>
      </c>
      <c r="P11" s="78">
        <f ca="1">IF($O$5="","",SUMIF('Data table'!$D$10:$D$30,$O$5,INDIRECT(CONCATENATE("'Data table'!",MID(ADDRESS(1,MATCH(30,'Data table'!$A$3:$CB$3,0),4),1,LEN(ADDRESS(1,MATCH(30,'Data table'!$A$3:$CB$3,0),4))-1),"10:",MID(ADDRESS(1,MATCH(30,'Data table'!$A$3:$CB$3,0),4),1,LEN(ADDRESS(1,MATCH(30,'Data table'!$A$3:$CB$3,0),4))-1),"30"))))</f>
        <v>182474</v>
      </c>
      <c r="Q11" s="78">
        <f ca="1">IF($O$5="","",SUMIF('Data table'!$D$10:$D$30,$O$5,INDIRECT(CONCATENATE("'Data table'!",MID(ADDRESS(1,MATCH(33,'Data table'!$A$3:$CB$3,0),4),1,LEN(ADDRESS(1,MATCH(33,'Data table'!$A$3:$CB$3,0),4))-1),"10:",MID(ADDRESS(1,MATCH(33,'Data table'!$A$3:$CB$3,0),4),1,LEN(ADDRESS(1,MATCH(33,'Data table'!$A$3:$CB$3,0),4))-1),"30"))))</f>
        <v>185168</v>
      </c>
      <c r="R11" s="79">
        <f ca="1">IF($O$5="","",Q11/SUMIF('Data table'!$D$10:$D$30,$O$5,INDIRECT(CONCATENATE("'Data table'!",MID(ADDRESS(1,MATCH(45,'Data table'!$A$3:$CB$3,0),4),1,LEN(ADDRESS(1,MATCH(45,'Data table'!$A$3:$CB$3,0),4))-1),"10:",MID(ADDRESS(1,MATCH(45,'Data table'!$A$3:$CB$3,0),4),1,LEN(ADDRESS(1,MATCH(45,'Data table'!$A$3:$CB$3,0),4))-1),"30"))))</f>
        <v>0.21303855605769143</v>
      </c>
      <c r="S11" s="79">
        <f ca="1">IF($O$5="","",P11/SUMIF('Data table'!$D$10:$D$30,$O$5,INDIRECT(CONCATENATE("'Data table'!",MID(ADDRESS(1,MATCH(45,'Data table'!$A$3:$CB$3,0),4),1,LEN(ADDRESS(1,MATCH(45,'Data table'!$A$3:$CB$3,0),4))-1),"10:",MID(ADDRESS(1,MATCH(45,'Data table'!$A$3:$CB$3,0),4),1,LEN(ADDRESS(1,MATCH(45,'Data table'!$A$3:$CB$3,0),4))-1),"30"))))</f>
        <v>0.20993906872716228</v>
      </c>
      <c r="T11" s="79">
        <f ca="1">IF($O$5="","",O11/SUMIF('Data table'!$D$10:$D$30,$O$5,INDIRECT(CONCATENATE("'Data table'!",MID(ADDRESS(1,MATCH(45,'Data table'!$A$3:$CB$3,0),4),1,LEN(ADDRESS(1,MATCH(45,'Data table'!$A$3:$CB$3,0),4))-1),"10:",MID(ADDRESS(1,MATCH(45,'Data table'!$A$3:$CB$3,0),4),1,LEN(ADDRESS(1,MATCH(45,'Data table'!$A$3:$CB$3,0),4))-1),"30"))))</f>
        <v>0.20993906872716228</v>
      </c>
      <c r="U11" s="86">
        <v>0.1</v>
      </c>
      <c r="V11" s="93">
        <v>7.4999999999999997E-2</v>
      </c>
      <c r="W11" s="94">
        <v>5.6250000000000001E-2</v>
      </c>
    </row>
    <row r="12" spans="1:24" x14ac:dyDescent="0.25">
      <c r="B12" s="65" t="str">
        <f>IF($J$1="ENG","2nd year","2-й рік")</f>
        <v>2-й рік</v>
      </c>
      <c r="C12" s="63">
        <f>IFERROR(INDEX('Data table'!$B$10:$CB$30,MATCH($K$2,'Data table'!$B$10:$B$30,0),MATCH(28,'Data table'!$B$3:$CB$3,0)),"")</f>
        <v>18278</v>
      </c>
      <c r="D12" s="63">
        <f>IFERROR(INDEX('Data table'!$B$10:$CB$30,MATCH($K$2,'Data table'!$B$10:$B$30,0),MATCH(31,'Data table'!$B$3:$CB$3,0)),"")</f>
        <v>18278</v>
      </c>
      <c r="E12" s="63">
        <f>IFERROR(INDEX('Data table'!$B$10:$CB$30,MATCH($K$2,'Data table'!$B$10:$B$30,0),MATCH(34,'Data table'!$B$3:$CB$3,0)),"")</f>
        <v>18278</v>
      </c>
      <c r="F12" s="61">
        <f>IFERROR(INDEX('Data table'!$B$10:$CB$30,MATCH($K$2,'Data table'!$B$10:$B$30,0),MATCH(37,'Data table'!$B$3:$CB$3,0)),"")</f>
        <v>0.21490000000000001</v>
      </c>
      <c r="G12" s="61">
        <f>IFERROR(INDEX('Data table'!$B$10:$CB$30,MATCH($K$2,'Data table'!$B$10:$B$30,0),MATCH(40,'Data table'!$B$3:$CB$3,0)),"")</f>
        <v>0.21490000000000001</v>
      </c>
      <c r="H12" s="61">
        <f>IFERROR(INDEX('Data table'!$B$10:$CB$30,MATCH($K$2,'Data table'!$B$10:$B$30,0),MATCH(43,'Data table'!$B$3:$CB$3,0)),"")</f>
        <v>0.21490000000000001</v>
      </c>
      <c r="I12" s="78">
        <f ca="1">SUM(INDIRECT(CONCATENATE("'Data table'!",MID(ADDRESS(1,MATCH(28,'Data table'!$A$3:$CB$3,0),4),1,LEN(ADDRESS(1,MATCH(28,'Data table'!$A$3:$CB$3,0),4))-1),"10:",MID(ADDRESS(1,MATCH(28,'Data table'!$A$3:$CB$3,0),4),1,LEN(ADDRESS(1,MATCH(28,'Data table'!$A$3:$CB$3,0),4))-1),"30")))</f>
        <v>436715</v>
      </c>
      <c r="J12" s="78">
        <f ca="1">SUM(INDIRECT(CONCATENATE("'Data table'!",MID(ADDRESS(1,MATCH(31,'Data table'!$A$3:$CB$3,0),4),1,LEN(ADDRESS(1,MATCH(31,'Data table'!$A$3:$CB$3,0),4))-1),"10:",MID(ADDRESS(1,MATCH(31,'Data table'!$A$3:$CB$3,0),4),1,LEN(ADDRESS(1,MATCH(31,'Data table'!$A$3:$CB$3,0),4))-1),"30")))</f>
        <v>436715</v>
      </c>
      <c r="K12" s="78">
        <f ca="1">SUM(INDIRECT(CONCATENATE("'Data table'!",MID(ADDRESS(1,MATCH(34,'Data table'!$A$3:$CB$3,0),4),1,LEN(ADDRESS(1,MATCH(34,'Data table'!$A$3:$CB$3,0),4))-1),"10:",MID(ADDRESS(1,MATCH(34,'Data table'!$A$3:$CB$3,0),4),1,LEN(ADDRESS(1,MATCH(34,'Data table'!$A$3:$CB$3,0),4))-1),"30")))</f>
        <v>440747</v>
      </c>
      <c r="L12" s="79">
        <f ca="1">K12/SUM(INDIRECT(CONCATENATE("'Data table'!",MID(ADDRESS(1,MATCH(46,'Data table'!$A$3:$CB$3,0),4),1,LEN(ADDRESS(1,MATCH(46,'Data table'!$A$3:$CB$3,0),4))-1),"10:",MID(ADDRESS(1,MATCH(46,'Data table'!$A$3:$CB$3,0),4),1,LEN(ADDRESS(1,MATCH(46,'Data table'!$A$3:$CB$3,0),4))-1),"30")))</f>
        <v>0.28207501102388005</v>
      </c>
      <c r="M12" s="79">
        <f ca="1">J12/SUM(INDIRECT(CONCATENATE("'Data table'!",MID(ADDRESS(1,MATCH(46,'Data table'!$A$3:$CB$3,0),4),1,LEN(ADDRESS(1,MATCH(46,'Data table'!$A$3:$CB$3,0),4))-1),"10:",MID(ADDRESS(1,MATCH(46,'Data table'!$A$3:$CB$3,0),4),1,LEN(ADDRESS(1,MATCH(46,'Data table'!$A$3:$CB$3,0),4))-1),"30")))</f>
        <v>0.27949455909919702</v>
      </c>
      <c r="N12" s="79">
        <f ca="1">I12/SUM(INDIRECT(CONCATENATE("'Data table'!",MID(ADDRESS(1,MATCH(46,'Data table'!$A$3:$CB$3,0),4),1,LEN(ADDRESS(1,MATCH(46,'Data table'!$A$3:$CB$3,0),4))-1),"10:",MID(ADDRESS(1,MATCH(46,'Data table'!$A$3:$CB$3,0),4),1,LEN(ADDRESS(1,MATCH(46,'Data table'!$A$3:$CB$3,0),4))-1),"30")))</f>
        <v>0.27949455909919702</v>
      </c>
      <c r="O12" s="78">
        <f ca="1">IF($O$5="","",SUMIF('Data table'!$D$10:$D$30,$O$5,INDIRECT(CONCATENATE("'Data table'!",MID(ADDRESS(1,MATCH(28,'Data table'!$A$3:$CB$3,0),4),1,LEN(ADDRESS(1,MATCH(28,'Data table'!$A$3:$CB$3,0),4))-1),"10:",MID(ADDRESS(1,MATCH(28,'Data table'!$A$3:$CB$3,0),4),1,LEN(ADDRESS(1,MATCH(28,'Data table'!$A$3:$CB$3,0),4))-1),"30"))))</f>
        <v>249209</v>
      </c>
      <c r="P12" s="78">
        <f ca="1">IF($O$5="","",SUMIF('Data table'!$D$10:$D$30,$O$5,INDIRECT(CONCATENATE("'Data table'!",MID(ADDRESS(1,MATCH(31,'Data table'!$A$3:$CB$3,0),4),1,LEN(ADDRESS(1,MATCH(31,'Data table'!$A$3:$CB$3,0),4))-1),"10:",MID(ADDRESS(1,MATCH(31,'Data table'!$A$3:$CB$3,0),4),1,LEN(ADDRESS(1,MATCH(31,'Data table'!$A$3:$CB$3,0),4))-1),"30"))))</f>
        <v>249209</v>
      </c>
      <c r="Q12" s="78">
        <f ca="1">IF($O$5="","",SUMIF('Data table'!$D$10:$D$30,$O$5,INDIRECT(CONCATENATE("'Data table'!",MID(ADDRESS(1,MATCH(34,'Data table'!$A$3:$CB$3,0),4),1,LEN(ADDRESS(1,MATCH(34,'Data table'!$A$3:$CB$3,0),4))-1),"10:",MID(ADDRESS(1,MATCH(34,'Data table'!$A$3:$CB$3,0),4),1,LEN(ADDRESS(1,MATCH(34,'Data table'!$A$3:$CB$3,0),4))-1),"30"))))</f>
        <v>251078</v>
      </c>
      <c r="R12" s="79">
        <f ca="1">IF($O$5="","",Q12/SUMIF('Data table'!$D$10:$D$30,$O$5,INDIRECT(CONCATENATE("'Data table'!",MID(ADDRESS(1,MATCH(46,'Data table'!$A$3:$CB$3,0),4),1,LEN(ADDRESS(1,MATCH(46,'Data table'!$A$3:$CB$3,0),4))-1),"10:",MID(ADDRESS(1,MATCH(46,'Data table'!$A$3:$CB$3,0),4),1,LEN(ADDRESS(1,MATCH(46,'Data table'!$A$3:$CB$3,0),4))-1),"30"))))</f>
        <v>0.28010343873553062</v>
      </c>
      <c r="S12" s="79">
        <f ca="1">IF($O$5="","",P12/SUMIF('Data table'!$D$10:$D$30,$O$5,INDIRECT(CONCATENATE("'Data table'!",MID(ADDRESS(1,MATCH(46,'Data table'!$A$3:$CB$3,0),4),1,LEN(ADDRESS(1,MATCH(46,'Data table'!$A$3:$CB$3,0),4))-1),"10:",MID(ADDRESS(1,MATCH(46,'Data table'!$A$3:$CB$3,0),4),1,LEN(ADDRESS(1,MATCH(46,'Data table'!$A$3:$CB$3,0),4))-1),"30"))))</f>
        <v>0.27801837621712316</v>
      </c>
      <c r="T12" s="79">
        <f ca="1">IF($O$5="","",O12/SUMIF('Data table'!$D$10:$D$30,$O$5,INDIRECT(CONCATENATE("'Data table'!",MID(ADDRESS(1,MATCH(46,'Data table'!$A$3:$CB$3,0),4),1,LEN(ADDRESS(1,MATCH(46,'Data table'!$A$3:$CB$3,0),4))-1),"10:",MID(ADDRESS(1,MATCH(46,'Data table'!$A$3:$CB$3,0),4),1,LEN(ADDRESS(1,MATCH(46,'Data table'!$A$3:$CB$3,0),4))-1),"30"))))</f>
        <v>0.27801837621712316</v>
      </c>
      <c r="U12" s="86">
        <v>0.1</v>
      </c>
      <c r="V12" s="93">
        <v>7.4999999999999997E-2</v>
      </c>
      <c r="W12" s="94">
        <v>5.6250000000000001E-2</v>
      </c>
    </row>
    <row r="13" spans="1:24" x14ac:dyDescent="0.25">
      <c r="B13" s="65" t="str">
        <f>IF($J$1="ENG","3rd year","3-й рік")</f>
        <v>3-й рік</v>
      </c>
      <c r="C13" s="63">
        <f>IFERROR(INDEX('Data table'!$B$10:$CB$30,MATCH($K$2,'Data table'!$B$10:$B$30,0),MATCH(29,'Data table'!$B$3:$CB$3,0)),"")</f>
        <v>20658</v>
      </c>
      <c r="D13" s="63">
        <f>IFERROR(INDEX('Data table'!$B$10:$CB$30,MATCH($K$2,'Data table'!$B$10:$B$30,0),MATCH(32,'Data table'!$B$3:$CB$3,0)),"")</f>
        <v>20658</v>
      </c>
      <c r="E13" s="63">
        <f>IFERROR(INDEX('Data table'!$B$10:$CB$30,MATCH($K$2,'Data table'!$B$10:$B$30,0),MATCH(35,'Data table'!$B$3:$CB$3,0)),"")</f>
        <v>20658</v>
      </c>
      <c r="F13" s="61">
        <f>IFERROR(INDEX('Data table'!$B$10:$CB$30,MATCH($K$2,'Data table'!$B$10:$B$30,0),MATCH(38,'Data table'!$B$3:$CB$3,0)),"")</f>
        <v>0.23960000000000001</v>
      </c>
      <c r="G13" s="61">
        <f>IFERROR(INDEX('Data table'!$B$10:$CB$30,MATCH($K$2,'Data table'!$B$10:$B$30,0),MATCH(41,'Data table'!$B$3:$CB$3,0)),"")</f>
        <v>0.23960000000000001</v>
      </c>
      <c r="H13" s="61">
        <f>IFERROR(INDEX('Data table'!$B$10:$CB$30,MATCH($K$2,'Data table'!$B$10:$B$30,0),MATCH(44,'Data table'!$B$3:$CB$3,0)),"")</f>
        <v>0.23960000000000001</v>
      </c>
      <c r="I13" s="78">
        <f ca="1">SUM(INDIRECT(CONCATENATE("'Data table'!",MID(ADDRESS(1,MATCH(29,'Data table'!$A$3:$CB$3,0),4),1,LEN(ADDRESS(1,MATCH(29,'Data table'!$A$3:$CB$3,0),4))-1),"10:",MID(ADDRESS(1,MATCH(29,'Data table'!$A$3:$CB$3,0),4),1,LEN(ADDRESS(1,MATCH(29,'Data table'!$A$3:$CB$3,0),4))-1),"30")))</f>
        <v>506787</v>
      </c>
      <c r="J13" s="78">
        <f ca="1">SUM(INDIRECT(CONCATENATE("'Data table'!",MID(ADDRESS(1,MATCH(32,'Data table'!$A$3:$CB$3,0),4),1,LEN(ADDRESS(1,MATCH(32,'Data table'!$A$3:$CB$3,0),4))-1),"10:",MID(ADDRESS(1,MATCH(32,'Data table'!$A$3:$CB$3,0),4),1,LEN(ADDRESS(1,MATCH(32,'Data table'!$A$3:$CB$3,0),4))-1),"30")))</f>
        <v>506787</v>
      </c>
      <c r="K13" s="78">
        <f ca="1">SUM(INDIRECT(CONCATENATE("'Data table'!",MID(ADDRESS(1,MATCH(35,'Data table'!$A$3:$CB$3,0),4),1,LEN(ADDRESS(1,MATCH(35,'Data table'!$A$3:$CB$3,0),4))-1),"10:",MID(ADDRESS(1,MATCH(35,'Data table'!$A$3:$CB$3,0),4),1,LEN(ADDRESS(1,MATCH(35,'Data table'!$A$3:$CB$3,0),4))-1),"30")))</f>
        <v>509736</v>
      </c>
      <c r="L13" s="79">
        <f ca="1">K13/SUM(INDIRECT(CONCATENATE("'Data table'!",MID(ADDRESS(1,MATCH(47,'Data table'!$A$3:$CB$3,0),4),1,LEN(ADDRESS(1,MATCH(47,'Data table'!$A$3:$CB$3,0),4))-1),"10:",MID(ADDRESS(1,MATCH(47,'Data table'!$A$3:$CB$3,0),4),1,LEN(ADDRESS(1,MATCH(47,'Data table'!$A$3:$CB$3,0),4))-1),"30")))</f>
        <v>0.32618239968055962</v>
      </c>
      <c r="M13" s="79">
        <f ca="1">J13/SUM(INDIRECT(CONCATENATE("'Data table'!",MID(ADDRESS(1,MATCH(47,'Data table'!$A$3:$CB$3,0),4),1,LEN(ADDRESS(1,MATCH(47,'Data table'!$A$3:$CB$3,0),4))-1),"10:",MID(ADDRESS(1,MATCH(47,'Data table'!$A$3:$CB$3,0),4),1,LEN(ADDRESS(1,MATCH(47,'Data table'!$A$3:$CB$3,0),4))-1),"30")))</f>
        <v>0.32429532108172027</v>
      </c>
      <c r="N13" s="79">
        <f ca="1">I13/SUM(INDIRECT(CONCATENATE("'Data table'!",MID(ADDRESS(1,MATCH(47,'Data table'!$A$3:$CB$3,0),4),1,LEN(ADDRESS(1,MATCH(47,'Data table'!$A$3:$CB$3,0),4))-1),"10:",MID(ADDRESS(1,MATCH(47,'Data table'!$A$3:$CB$3,0),4),1,LEN(ADDRESS(1,MATCH(47,'Data table'!$A$3:$CB$3,0),4))-1),"30")))</f>
        <v>0.32429532108172027</v>
      </c>
      <c r="O13" s="78">
        <f ca="1">IF($O$5="","",SUMIF('Data table'!$D$10:$D$30,$O$5,INDIRECT(CONCATENATE("'Data table'!",MID(ADDRESS(1,MATCH(29,'Data table'!$A$3:$CB$3,0),4),1,LEN(ADDRESS(1,MATCH(29,'Data table'!$A$3:$CB$3,0),4))-1),"10:",MID(ADDRESS(1,MATCH(29,'Data table'!$A$3:$CB$3,0),4),1,LEN(ADDRESS(1,MATCH(29,'Data table'!$A$3:$CB$3,0),4))-1),"30"))))</f>
        <v>302948</v>
      </c>
      <c r="P13" s="78">
        <f ca="1">IF($O$5="","",SUMIF('Data table'!$D$10:$D$30,$O$5,INDIRECT(CONCATENATE("'Data table'!",MID(ADDRESS(1,MATCH(32,'Data table'!$A$3:$CB$3,0),4),1,LEN(ADDRESS(1,MATCH(32,'Data table'!$A$3:$CB$3,0),4))-1),"10:",MID(ADDRESS(1,MATCH(32,'Data table'!$A$3:$CB$3,0),4),1,LEN(ADDRESS(1,MATCH(32,'Data table'!$A$3:$CB$3,0),4))-1),"30"))))</f>
        <v>302948</v>
      </c>
      <c r="Q13" s="78">
        <f ca="1">IF($O$5="","",SUMIF('Data table'!$D$10:$D$30,$O$5,INDIRECT(CONCATENATE("'Data table'!",MID(ADDRESS(1,MATCH(35,'Data table'!$A$3:$CB$3,0),4),1,LEN(ADDRESS(1,MATCH(35,'Data table'!$A$3:$CB$3,0),4))-1),"10:",MID(ADDRESS(1,MATCH(35,'Data table'!$A$3:$CB$3,0),4),1,LEN(ADDRESS(1,MATCH(35,'Data table'!$A$3:$CB$3,0),4))-1),"30"))))</f>
        <v>303886</v>
      </c>
      <c r="R13" s="79">
        <f ca="1">IF($O$5="","",Q13/SUMIF('Data table'!$D$10:$D$30,$O$5,INDIRECT(CONCATENATE("'Data table'!",MID(ADDRESS(1,MATCH(47,'Data table'!$A$3:$CB$3,0),4),1,LEN(ADDRESS(1,MATCH(47,'Data table'!$A$3:$CB$3,0),4))-1),"10:",MID(ADDRESS(1,MATCH(47,'Data table'!$A$3:$CB$3,0),4),1,LEN(ADDRESS(1,MATCH(47,'Data table'!$A$3:$CB$3,0),4))-1),"30"))))</f>
        <v>0.33812900009791619</v>
      </c>
      <c r="S13" s="79">
        <f ca="1">IF($O$5="","",P13/SUMIF('Data table'!$D$10:$D$30,$O$5,INDIRECT(CONCATENATE("'Data table'!",MID(ADDRESS(1,MATCH(47,'Data table'!$A$3:$CB$3,0),4),1,LEN(ADDRESS(1,MATCH(47,'Data table'!$A$3:$CB$3,0),4))-1),"10:",MID(ADDRESS(1,MATCH(47,'Data table'!$A$3:$CB$3,0),4),1,LEN(ADDRESS(1,MATCH(47,'Data table'!$A$3:$CB$3,0),4))-1),"30"))))</f>
        <v>0.33708530278348953</v>
      </c>
      <c r="T13" s="79">
        <f ca="1">IF($O$5="","",O13/SUMIF('Data table'!$D$10:$D$30,$O$5,INDIRECT(CONCATENATE("'Data table'!",MID(ADDRESS(1,MATCH(47,'Data table'!$A$3:$CB$3,0),4),1,LEN(ADDRESS(1,MATCH(47,'Data table'!$A$3:$CB$3,0),4))-1),"10:",MID(ADDRESS(1,MATCH(47,'Data table'!$A$3:$CB$3,0),4),1,LEN(ADDRESS(1,MATCH(47,'Data table'!$A$3:$CB$3,0),4))-1),"30"))))</f>
        <v>0.33708530278348953</v>
      </c>
      <c r="U13" s="86">
        <v>0.1</v>
      </c>
      <c r="V13" s="93">
        <v>7.4999999999999997E-2</v>
      </c>
      <c r="W13" s="94">
        <v>5.6250000000000001E-2</v>
      </c>
    </row>
    <row r="14" spans="1:24" ht="13.35" customHeight="1" x14ac:dyDescent="0.3">
      <c r="B14" s="87" t="str">
        <f>IF($J$1="ENG","Forecast year","Прогнозний рік")</f>
        <v>Прогнозний рік</v>
      </c>
      <c r="C14" s="186" t="str">
        <f>IF($J$1="ENG","Adverse scenario","За несприятливим макроекономічним сценарієм")</f>
        <v>За несприятливим макроекономічним сценарієм</v>
      </c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202"/>
      <c r="W14" s="202"/>
    </row>
    <row r="15" spans="1:24" ht="14.4" customHeight="1" x14ac:dyDescent="0.25">
      <c r="B15" s="65" t="str">
        <f>IF($J$1="ENG","1st year","1-й рік")</f>
        <v>1-й рік</v>
      </c>
      <c r="C15" s="63">
        <f>IFERROR(INDEX('Data table'!$B$10:$CB$30,MATCH($K$2,'Data table'!$B$10:$B$30,0),MATCH(48,'Data table'!$B$3:$CB$3,0)),"")</f>
        <v>12269</v>
      </c>
      <c r="D15" s="63">
        <f>IFERROR(INDEX('Data table'!$B$10:$CB$30,MATCH($K$2,'Data table'!$B$10:$B$30,0),MATCH(51,'Data table'!$B$3:$CB$3,0)),"")</f>
        <v>12269</v>
      </c>
      <c r="E15" s="63">
        <f>IFERROR(INDEX('Data table'!$B$10:$CB$30,MATCH($K$2,'Data table'!$B$10:$B$30,0),MATCH(54,'Data table'!$B$3:$CB$3,0)),"")</f>
        <v>12269</v>
      </c>
      <c r="F15" s="61">
        <f>IFERROR(INDEX('Data table'!$B$10:$CB$30,MATCH($K$2,'Data table'!$B$10:$B$30,0),MATCH(57,'Data table'!$B$3:$CB$3,0)),"")</f>
        <v>0.1467</v>
      </c>
      <c r="G15" s="61">
        <f>IFERROR(INDEX('Data table'!$B$10:$CB$30,MATCH($K$2,'Data table'!$B$10:$B$30,0),MATCH(60,'Data table'!$B$3:$CB$3,0)),"")</f>
        <v>0.1467</v>
      </c>
      <c r="H15" s="61">
        <f>IFERROR(INDEX('Data table'!$B$10:$CB$30,MATCH($K$2,'Data table'!$B$10:$B$30,0),MATCH(63,'Data table'!$B$3:$CB$3,0)),"")</f>
        <v>0.1467</v>
      </c>
      <c r="I15" s="78">
        <f ca="1">SUM(INDIRECT(CONCATENATE("'Data table'!",MID(ADDRESS(1,MATCH(48,'Data table'!$A$3:$CB$3,0),4),1,LEN(ADDRESS(1,MATCH(48,'Data table'!$A$3:$CB$3,0),4))-1),"10:",MID(ADDRESS(1,MATCH(48,'Data table'!$A$3:$CB$3,0),4),1,LEN(ADDRESS(1,MATCH(48,'Data table'!$A$3:$CB$3,0),4))-1),"30")))</f>
        <v>314538</v>
      </c>
      <c r="J15" s="78">
        <f ca="1">SUM(INDIRECT(CONCATENATE("'Data table'!",MID(ADDRESS(1,MATCH(51,'Data table'!$A$3:$CB$3,0),4),1,LEN(ADDRESS(1,MATCH(51,'Data table'!$A$3:$CB$3,0),4))-1),"10:",MID(ADDRESS(1,MATCH(51,'Data table'!$A$3:$CB$3,0),4),1,LEN(ADDRESS(1,MATCH(51,'Data table'!$A$3:$CB$3,0),4))-1),"30")))</f>
        <v>314538</v>
      </c>
      <c r="K15" s="78">
        <f ca="1">SUM(INDIRECT(CONCATENATE("'Data table'!",MID(ADDRESS(1,MATCH(54,'Data table'!$A$3:$CB$3,0),4),1,LEN(ADDRESS(1,MATCH(54,'Data table'!$A$3:$CB$3,0),4))-1),"10:",MID(ADDRESS(1,MATCH(54,'Data table'!$A$3:$CB$3,0),4),1,LEN(ADDRESS(1,MATCH(54,'Data table'!$A$3:$CB$3,0),4))-1),"30")))</f>
        <v>319830</v>
      </c>
      <c r="L15" s="79">
        <f ca="1">K15/SUM(INDIRECT(CONCATENATE("'Data table'!",MID(ADDRESS(1,MATCH(66,'Data table'!$A$3:$CB$3,0),4),1,LEN(ADDRESS(1,MATCH(66,'Data table'!$A$3:$CB$3,0),4))-1),"10:",MID(ADDRESS(1,MATCH(66,'Data table'!$A$3:$CB$3,0),4),1,LEN(ADDRESS(1,MATCH(66,'Data table'!$A$3:$CB$3,0),4))-1),"30")))</f>
        <v>0.20752859739270421</v>
      </c>
      <c r="M15" s="79">
        <f ca="1">J15/SUM(INDIRECT(CONCATENATE("'Data table'!",MID(ADDRESS(1,MATCH(66,'Data table'!$A$3:$CB$3,0),4),1,LEN(ADDRESS(1,MATCH(66,'Data table'!$A$3:$CB$3,0),4))-1),"10:",MID(ADDRESS(1,MATCH(66,'Data table'!$A$3:$CB$3,0),4),1,LEN(ADDRESS(1,MATCH(66,'Data table'!$A$3:$CB$3,0),4))-1),"30")))</f>
        <v>0.20409476899198448</v>
      </c>
      <c r="N15" s="79">
        <f ca="1">I15/SUM(INDIRECT(CONCATENATE("'Data table'!",MID(ADDRESS(1,MATCH(66,'Data table'!$A$3:$CB$3,0),4),1,LEN(ADDRESS(1,MATCH(66,'Data table'!$A$3:$CB$3,0),4))-1),"10:",MID(ADDRESS(1,MATCH(66,'Data table'!$A$3:$CB$3,0),4),1,LEN(ADDRESS(1,MATCH(66,'Data table'!$A$3:$CB$3,0),4))-1),"30")))</f>
        <v>0.20409476899198448</v>
      </c>
      <c r="O15" s="78">
        <f ca="1">IF($O$5="","",SUMIF('Data table'!$D$10:$D$30,$O$5,INDIRECT(CONCATENATE("'Data table'!",MID(ADDRESS(1,MATCH(48,'Data table'!$A$3:$CB$3,0),4),1,LEN(ADDRESS(1,MATCH(48,'Data table'!$A$3:$CB$3,0),4))-1),"10:",MID(ADDRESS(1,MATCH(48,'Data table'!$A$3:$CB$3,0),4),1,LEN(ADDRESS(1,MATCH(48,'Data table'!$A$3:$CB$3,0),4))-1),"30"))))</f>
        <v>166321</v>
      </c>
      <c r="P15" s="78">
        <f ca="1">IF($O$5="","",SUMIF('Data table'!$D$10:$D$30,$O$5,INDIRECT(CONCATENATE("'Data table'!",MID(ADDRESS(1,MATCH(51,'Data table'!$A$3:$CB$3,0),4),1,LEN(ADDRESS(1,MATCH(51,'Data table'!$A$3:$CB$3,0),4))-1),"10:",MID(ADDRESS(1,MATCH(51,'Data table'!$A$3:$CB$3,0),4),1,LEN(ADDRESS(1,MATCH(51,'Data table'!$A$3:$CB$3,0),4))-1),"30"))))</f>
        <v>166321</v>
      </c>
      <c r="Q15" s="78">
        <f ca="1">IF($O$5="","",SUMIF('Data table'!$D$10:$D$30,$O$5,INDIRECT(CONCATENATE("'Data table'!",MID(ADDRESS(1,MATCH(54,'Data table'!$A$3:$CB$3,0),4),1,LEN(ADDRESS(1,MATCH(54,'Data table'!$A$3:$CB$3,0),4))-1),"10:",MID(ADDRESS(1,MATCH(54,'Data table'!$A$3:$CB$3,0),4),1,LEN(ADDRESS(1,MATCH(54,'Data table'!$A$3:$CB$3,0),4))-1),"30"))))</f>
        <v>169210</v>
      </c>
      <c r="R15" s="79">
        <f ca="1">IF($O$5="","",Q15/SUMIF('Data table'!$D$10:$D$30,$O$5,INDIRECT(CONCATENATE("'Data table'!",MID(ADDRESS(1,MATCH(66,'Data table'!$A$3:$CB$3,0),4),1,LEN(ADDRESS(1,MATCH(66,'Data table'!$A$3:$CB$3,0),4))-1),"10:",MID(ADDRESS(1,MATCH(66,'Data table'!$A$3:$CB$3,0),4),1,LEN(ADDRESS(1,MATCH(66,'Data table'!$A$3:$CB$3,0),4))-1),"30"))))</f>
        <v>0.19098862375545872</v>
      </c>
      <c r="S15" s="79">
        <f ca="1">IF($O$5="","",P15/SUMIF('Data table'!$D$10:$D$30,$O$5,INDIRECT(CONCATENATE("'Data table'!",MID(ADDRESS(1,MATCH(66,'Data table'!$A$3:$CB$3,0),4),1,LEN(ADDRESS(1,MATCH(66,'Data table'!$A$3:$CB$3,0),4))-1),"10:",MID(ADDRESS(1,MATCH(66,'Data table'!$A$3:$CB$3,0),4),1,LEN(ADDRESS(1,MATCH(66,'Data table'!$A$3:$CB$3,0),4))-1),"30"))))</f>
        <v>0.18772778731535752</v>
      </c>
      <c r="T15" s="79">
        <f ca="1">IF($O$5="","",O15/SUMIF('Data table'!$D$10:$D$30,$O$5,INDIRECT(CONCATENATE("'Data table'!",MID(ADDRESS(1,MATCH(66,'Data table'!$A$3:$CB$3,0),4),1,LEN(ADDRESS(1,MATCH(66,'Data table'!$A$3:$CB$3,0),4))-1),"10:",MID(ADDRESS(1,MATCH(66,'Data table'!$A$3:$CB$3,0),4),1,LEN(ADDRESS(1,MATCH(66,'Data table'!$A$3:$CB$3,0),4))-1),"30"))))</f>
        <v>0.18772778731535752</v>
      </c>
      <c r="U15" s="86">
        <v>0.1</v>
      </c>
      <c r="V15" s="93">
        <v>7.4999999999999997E-2</v>
      </c>
      <c r="W15" s="94">
        <v>5.6250000000000001E-2</v>
      </c>
    </row>
    <row r="16" spans="1:24" x14ac:dyDescent="0.25">
      <c r="B16" s="65" t="str">
        <f>IF($J$1="ENG","2nd year","2-й рік")</f>
        <v>2-й рік</v>
      </c>
      <c r="C16" s="63">
        <f>IFERROR(INDEX('Data table'!$B$10:$CB$30,MATCH($K$2,'Data table'!$B$10:$B$30,0),MATCH(49,'Data table'!$B$3:$CB$3,0)),"")</f>
        <v>11558</v>
      </c>
      <c r="D16" s="63">
        <f>IFERROR(INDEX('Data table'!$B$10:$CB$30,MATCH($K$2,'Data table'!$B$10:$B$30,0),MATCH(52,'Data table'!$B$3:$CB$3,0)),"")</f>
        <v>11558</v>
      </c>
      <c r="E16" s="63">
        <f>IFERROR(INDEX('Data table'!$B$10:$CB$30,MATCH($K$2,'Data table'!$B$10:$B$30,0),MATCH(55,'Data table'!$B$3:$CB$3,0)),"")</f>
        <v>11558</v>
      </c>
      <c r="F16" s="61">
        <f>IFERROR(INDEX('Data table'!$B$10:$CB$30,MATCH($K$2,'Data table'!$B$10:$B$30,0),MATCH(58,'Data table'!$B$3:$CB$3,0)),"")</f>
        <v>0.1328</v>
      </c>
      <c r="G16" s="61">
        <f>IFERROR(INDEX('Data table'!$B$10:$CB$30,MATCH($K$2,'Data table'!$B$10:$B$30,0),MATCH(61,'Data table'!$B$3:$CB$3,0)),"")</f>
        <v>0.1328</v>
      </c>
      <c r="H16" s="61">
        <f>IFERROR(INDEX('Data table'!$B$10:$CB$30,MATCH($K$2,'Data table'!$B$10:$B$30,0),MATCH(64,'Data table'!$B$3:$CB$3,0)),"")</f>
        <v>0.1328</v>
      </c>
      <c r="I16" s="78">
        <f ca="1">SUM(INDIRECT(CONCATENATE("'Data table'!",MID(ADDRESS(1,MATCH(49,'Data table'!$A$3:$CB$3,0),4),1,LEN(ADDRESS(1,MATCH(49,'Data table'!$A$3:$CB$3,0),4))-1),"10:",MID(ADDRESS(1,MATCH(49,'Data table'!$A$3:$CB$3,0),4),1,LEN(ADDRESS(1,MATCH(49,'Data table'!$A$3:$CB$3,0),4))-1),"30")))</f>
        <v>372594</v>
      </c>
      <c r="J16" s="78">
        <f ca="1">SUM(INDIRECT(CONCATENATE("'Data table'!",MID(ADDRESS(1,MATCH(52,'Data table'!$A$3:$CB$3,0),4),1,LEN(ADDRESS(1,MATCH(52,'Data table'!$A$3:$CB$3,0),4))-1),"10:",MID(ADDRESS(1,MATCH(52,'Data table'!$A$3:$CB$3,0),4),1,LEN(ADDRESS(1,MATCH(52,'Data table'!$A$3:$CB$3,0),4))-1),"30")))</f>
        <v>372594</v>
      </c>
      <c r="K16" s="78">
        <f ca="1">SUM(INDIRECT(CONCATENATE("'Data table'!",MID(ADDRESS(1,MATCH(55,'Data table'!$A$3:$CB$3,0),4),1,LEN(ADDRESS(1,MATCH(55,'Data table'!$A$3:$CB$3,0),4))-1),"10:",MID(ADDRESS(1,MATCH(55,'Data table'!$A$3:$CB$3,0),4),1,LEN(ADDRESS(1,MATCH(55,'Data table'!$A$3:$CB$3,0),4))-1),"30")))</f>
        <v>376905</v>
      </c>
      <c r="L16" s="79">
        <f ca="1">K16/SUM(INDIRECT(CONCATENATE("'Data table'!",MID(ADDRESS(1,MATCH(67,'Data table'!$A$3:$CB$3,0),4),1,LEN(ADDRESS(1,MATCH(67,'Data table'!$A$3:$CB$3,0),4))-1),"10:",MID(ADDRESS(1,MATCH(67,'Data table'!$A$3:$CB$3,0),4),1,LEN(ADDRESS(1,MATCH(67,'Data table'!$A$3:$CB$3,0),4))-1),"30")))</f>
        <v>0.23590473806096263</v>
      </c>
      <c r="M16" s="79">
        <f ca="1">J16/SUM(INDIRECT(CONCATENATE("'Data table'!",MID(ADDRESS(1,MATCH(67,'Data table'!$A$3:$CB$3,0),4),1,LEN(ADDRESS(1,MATCH(67,'Data table'!$A$3:$CB$3,0),4))-1),"10:",MID(ADDRESS(1,MATCH(67,'Data table'!$A$3:$CB$3,0),4),1,LEN(ADDRESS(1,MATCH(67,'Data table'!$A$3:$CB$3,0),4))-1),"30")))</f>
        <v>0.23320648432121174</v>
      </c>
      <c r="N16" s="79">
        <f ca="1">I16/SUM(INDIRECT(CONCATENATE("'Data table'!",MID(ADDRESS(1,MATCH(67,'Data table'!$A$3:$CB$3,0),4),1,LEN(ADDRESS(1,MATCH(67,'Data table'!$A$3:$CB$3,0),4))-1),"10:",MID(ADDRESS(1,MATCH(67,'Data table'!$A$3:$CB$3,0),4),1,LEN(ADDRESS(1,MATCH(67,'Data table'!$A$3:$CB$3,0),4))-1),"30")))</f>
        <v>0.23320648432121174</v>
      </c>
      <c r="O16" s="78">
        <f ca="1">IF($O$5="","",SUMIF('Data table'!$D$10:$D$30,$O$5,INDIRECT(CONCATENATE("'Data table'!",MID(ADDRESS(1,MATCH(49,'Data table'!$A$3:$CB$3,0),4),1,LEN(ADDRESS(1,MATCH(49,'Data table'!$A$3:$CB$3,0),4))-1),"10:",MID(ADDRESS(1,MATCH(49,'Data table'!$A$3:$CB$3,0),4),1,LEN(ADDRESS(1,MATCH(49,'Data table'!$A$3:$CB$3,0),4))-1),"30"))))</f>
        <v>215260</v>
      </c>
      <c r="P16" s="78">
        <f ca="1">IF($O$5="","",SUMIF('Data table'!$D$10:$D$30,$O$5,INDIRECT(CONCATENATE("'Data table'!",MID(ADDRESS(1,MATCH(52,'Data table'!$A$3:$CB$3,0),4),1,LEN(ADDRESS(1,MATCH(52,'Data table'!$A$3:$CB$3,0),4))-1),"10:",MID(ADDRESS(1,MATCH(52,'Data table'!$A$3:$CB$3,0),4),1,LEN(ADDRESS(1,MATCH(52,'Data table'!$A$3:$CB$3,0),4))-1),"30"))))</f>
        <v>215260</v>
      </c>
      <c r="Q16" s="78">
        <f ca="1">IF($O$5="","",SUMIF('Data table'!$D$10:$D$30,$O$5,INDIRECT(CONCATENATE("'Data table'!",MID(ADDRESS(1,MATCH(55,'Data table'!$A$3:$CB$3,0),4),1,LEN(ADDRESS(1,MATCH(55,'Data table'!$A$3:$CB$3,0),4))-1),"10:",MID(ADDRESS(1,MATCH(55,'Data table'!$A$3:$CB$3,0),4),1,LEN(ADDRESS(1,MATCH(55,'Data table'!$A$3:$CB$3,0),4))-1),"30"))))</f>
        <v>217376</v>
      </c>
      <c r="R16" s="79">
        <f ca="1">IF($O$5="","",Q16/SUMIF('Data table'!$D$10:$D$30,$O$5,INDIRECT(CONCATENATE("'Data table'!",MID(ADDRESS(1,MATCH(67,'Data table'!$A$3:$CB$3,0),4),1,LEN(ADDRESS(1,MATCH(67,'Data table'!$A$3:$CB$3,0),4))-1),"10:",MID(ADDRESS(1,MATCH(67,'Data table'!$A$3:$CB$3,0),4),1,LEN(ADDRESS(1,MATCH(67,'Data table'!$A$3:$CB$3,0),4))-1),"30"))))</f>
        <v>0.23536927496310445</v>
      </c>
      <c r="S16" s="79">
        <f ca="1">IF($O$5="","",P16/SUMIF('Data table'!$D$10:$D$30,$O$5,INDIRECT(CONCATENATE("'Data table'!",MID(ADDRESS(1,MATCH(67,'Data table'!$A$3:$CB$3,0),4),1,LEN(ADDRESS(1,MATCH(67,'Data table'!$A$3:$CB$3,0),4))-1),"10:",MID(ADDRESS(1,MATCH(67,'Data table'!$A$3:$CB$3,0),4),1,LEN(ADDRESS(1,MATCH(67,'Data table'!$A$3:$CB$3,0),4))-1),"30"))))</f>
        <v>0.23307812329124589</v>
      </c>
      <c r="T16" s="79">
        <f ca="1">IF($O$5="","",O16/SUMIF('Data table'!$D$10:$D$30,$O$5,INDIRECT(CONCATENATE("'Data table'!",MID(ADDRESS(1,MATCH(67,'Data table'!$A$3:$CB$3,0),4),1,LEN(ADDRESS(1,MATCH(67,'Data table'!$A$3:$CB$3,0),4))-1),"10:",MID(ADDRESS(1,MATCH(67,'Data table'!$A$3:$CB$3,0),4),1,LEN(ADDRESS(1,MATCH(67,'Data table'!$A$3:$CB$3,0),4))-1),"30"))))</f>
        <v>0.23307812329124589</v>
      </c>
      <c r="U16" s="86">
        <v>0.1</v>
      </c>
      <c r="V16" s="93">
        <v>7.4999999999999997E-2</v>
      </c>
      <c r="W16" s="94">
        <v>5.6250000000000001E-2</v>
      </c>
    </row>
    <row r="17" spans="1:23" x14ac:dyDescent="0.25">
      <c r="B17" s="65" t="str">
        <f>IF($J$1="ENG","3rd year","3-й рік")</f>
        <v>3-й рік</v>
      </c>
      <c r="C17" s="63">
        <f>IFERROR(INDEX('Data table'!$B$10:$CB$30,MATCH($K$2,'Data table'!$B$10:$B$30,0),MATCH(50,'Data table'!$B$3:$CB$3,0)),"")</f>
        <v>13119</v>
      </c>
      <c r="D17" s="63">
        <f>IFERROR(INDEX('Data table'!$B$10:$CB$30,MATCH($K$2,'Data table'!$B$10:$B$30,0),MATCH(53,'Data table'!$B$3:$CB$3,0)),"")</f>
        <v>13119</v>
      </c>
      <c r="E17" s="63">
        <f>IFERROR(INDEX('Data table'!$B$10:$CB$30,MATCH($K$2,'Data table'!$B$10:$B$30,0),MATCH(56,'Data table'!$B$3:$CB$3,0)),"")</f>
        <v>13119</v>
      </c>
      <c r="F17" s="61">
        <f>IFERROR(INDEX('Data table'!$B$10:$CB$30,MATCH($K$2,'Data table'!$B$10:$B$30,0),MATCH(59,'Data table'!$B$3:$CB$3,0)),"")</f>
        <v>0.1497</v>
      </c>
      <c r="G17" s="61">
        <f>IFERROR(INDEX('Data table'!$B$10:$CB$30,MATCH($K$2,'Data table'!$B$10:$B$30,0),MATCH(62,'Data table'!$B$3:$CB$3,0)),"")</f>
        <v>0.1497</v>
      </c>
      <c r="H17" s="61">
        <f>IFERROR(INDEX('Data table'!$B$10:$CB$30,MATCH($K$2,'Data table'!$B$10:$B$30,0),MATCH(65,'Data table'!$B$3:$CB$3,0)),"")</f>
        <v>0.1497</v>
      </c>
      <c r="I17" s="78">
        <f ca="1">SUM(INDIRECT(CONCATENATE("'Data table'!",MID(ADDRESS(1,MATCH(50,'Data table'!$A$3:$CB$3,0),4),1,LEN(ADDRESS(1,MATCH(50,'Data table'!$A$3:$CB$3,0),4))-1),"10:",MID(ADDRESS(1,MATCH(50,'Data table'!$A$3:$CB$3,0),4),1,LEN(ADDRESS(1,MATCH(50,'Data table'!$A$3:$CB$3,0),4))-1),"30")))</f>
        <v>449358</v>
      </c>
      <c r="J17" s="78">
        <f ca="1">SUM(INDIRECT(CONCATENATE("'Data table'!",MID(ADDRESS(1,MATCH(53,'Data table'!$A$3:$CB$3,0),4),1,LEN(ADDRESS(1,MATCH(53,'Data table'!$A$3:$CB$3,0),4))-1),"10:",MID(ADDRESS(1,MATCH(53,'Data table'!$A$3:$CB$3,0),4),1,LEN(ADDRESS(1,MATCH(53,'Data table'!$A$3:$CB$3,0),4))-1),"30")))</f>
        <v>449358</v>
      </c>
      <c r="K17" s="78">
        <f ca="1">SUM(INDIRECT(CONCATENATE("'Data table'!",MID(ADDRESS(1,MATCH(56,'Data table'!$A$3:$CB$3,0),4),1,LEN(ADDRESS(1,MATCH(56,'Data table'!$A$3:$CB$3,0),4))-1),"10:",MID(ADDRESS(1,MATCH(56,'Data table'!$A$3:$CB$3,0),4),1,LEN(ADDRESS(1,MATCH(56,'Data table'!$A$3:$CB$3,0),4))-1),"30")))</f>
        <v>452500</v>
      </c>
      <c r="L17" s="79">
        <f ca="1">K17/SUM(INDIRECT(CONCATENATE("'Data table'!",MID(ADDRESS(1,MATCH(68,'Data table'!$A$3:$CB$3,0),4),1,LEN(ADDRESS(1,MATCH(68,'Data table'!$A$3:$CB$3,0),4))-1),"10:",MID(ADDRESS(1,MATCH(68,'Data table'!$A$3:$CB$3,0),4),1,LEN(ADDRESS(1,MATCH(68,'Data table'!$A$3:$CB$3,0),4))-1),"30")))</f>
        <v>0.28155675686438486</v>
      </c>
      <c r="M17" s="79">
        <f ca="1">J17/SUM(INDIRECT(CONCATENATE("'Data table'!",MID(ADDRESS(1,MATCH(68,'Data table'!$A$3:$CB$3,0),4),1,LEN(ADDRESS(1,MATCH(68,'Data table'!$A$3:$CB$3,0),4))-1),"10:",MID(ADDRESS(1,MATCH(68,'Data table'!$A$3:$CB$3,0),4),1,LEN(ADDRESS(1,MATCH(68,'Data table'!$A$3:$CB$3,0),4))-1),"30")))</f>
        <v>0.27960172630069891</v>
      </c>
      <c r="N17" s="79">
        <f ca="1">I17/SUM(INDIRECT(CONCATENATE("'Data table'!",MID(ADDRESS(1,MATCH(68,'Data table'!$A$3:$CB$3,0),4),1,LEN(ADDRESS(1,MATCH(68,'Data table'!$A$3:$CB$3,0),4))-1),"10:",MID(ADDRESS(1,MATCH(68,'Data table'!$A$3:$CB$3,0),4),1,LEN(ADDRESS(1,MATCH(68,'Data table'!$A$3:$CB$3,0),4))-1),"30")))</f>
        <v>0.27960172630069891</v>
      </c>
      <c r="O17" s="78">
        <f ca="1">IF($O$5="","",SUMIF('Data table'!$D$10:$D$30,$O$5,INDIRECT(CONCATENATE("'Data table'!",MID(ADDRESS(1,MATCH(50,'Data table'!$A$3:$CB$3,0),4),1,LEN(ADDRESS(1,MATCH(50,'Data table'!$A$3:$CB$3,0),4))-1),"10:",MID(ADDRESS(1,MATCH(50,'Data table'!$A$3:$CB$3,0),4),1,LEN(ADDRESS(1,MATCH(50,'Data table'!$A$3:$CB$3,0),4))-1),"30"))))</f>
        <v>273424</v>
      </c>
      <c r="P17" s="78">
        <f ca="1">IF($O$5="","",SUMIF('Data table'!$D$10:$D$30,$O$5,INDIRECT(CONCATENATE("'Data table'!",MID(ADDRESS(1,MATCH(53,'Data table'!$A$3:$CB$3,0),4),1,LEN(ADDRESS(1,MATCH(53,'Data table'!$A$3:$CB$3,0),4))-1),"10:",MID(ADDRESS(1,MATCH(53,'Data table'!$A$3:$CB$3,0),4),1,LEN(ADDRESS(1,MATCH(53,'Data table'!$A$3:$CB$3,0),4))-1),"30"))))</f>
        <v>273424</v>
      </c>
      <c r="Q17" s="78">
        <f ca="1">IF($O$5="","",SUMIF('Data table'!$D$10:$D$30,$O$5,INDIRECT(CONCATENATE("'Data table'!",MID(ADDRESS(1,MATCH(56,'Data table'!$A$3:$CB$3,0),4),1,LEN(ADDRESS(1,MATCH(56,'Data table'!$A$3:$CB$3,0),4))-1),"10:",MID(ADDRESS(1,MATCH(56,'Data table'!$A$3:$CB$3,0),4),1,LEN(ADDRESS(1,MATCH(56,'Data table'!$A$3:$CB$3,0),4))-1),"30"))))</f>
        <v>274536</v>
      </c>
      <c r="R17" s="79">
        <f ca="1">IF($O$5="","",Q17/SUMIF('Data table'!$D$10:$D$30,$O$5,INDIRECT(CONCATENATE("'Data table'!",MID(ADDRESS(1,MATCH(68,'Data table'!$A$3:$CB$3,0),4),1,LEN(ADDRESS(1,MATCH(68,'Data table'!$A$3:$CB$3,0),4))-1),"10:",MID(ADDRESS(1,MATCH(68,'Data table'!$A$3:$CB$3,0),4),1,LEN(ADDRESS(1,MATCH(68,'Data table'!$A$3:$CB$3,0),4))-1),"30"))))</f>
        <v>0.29421674661453978</v>
      </c>
      <c r="S17" s="79">
        <f ca="1">IF($O$5="","",P17/SUMIF('Data table'!$D$10:$D$30,$O$5,INDIRECT(CONCATENATE("'Data table'!",MID(ADDRESS(1,MATCH(68,'Data table'!$A$3:$CB$3,0),4),1,LEN(ADDRESS(1,MATCH(68,'Data table'!$A$3:$CB$3,0),4))-1),"10:",MID(ADDRESS(1,MATCH(68,'Data table'!$A$3:$CB$3,0),4),1,LEN(ADDRESS(1,MATCH(68,'Data table'!$A$3:$CB$3,0),4))-1),"30"))))</f>
        <v>0.29302503032875082</v>
      </c>
      <c r="T17" s="79">
        <f ca="1">IF($O$5="","",O17/SUMIF('Data table'!$D$10:$D$30,$O$5,INDIRECT(CONCATENATE("'Data table'!",MID(ADDRESS(1,MATCH(68,'Data table'!$A$3:$CB$3,0),4),1,LEN(ADDRESS(1,MATCH(68,'Data table'!$A$3:$CB$3,0),4))-1),"10:",MID(ADDRESS(1,MATCH(68,'Data table'!$A$3:$CB$3,0),4),1,LEN(ADDRESS(1,MATCH(68,'Data table'!$A$3:$CB$3,0),4))-1),"30"))))</f>
        <v>0.29302503032875082</v>
      </c>
      <c r="U17" s="86">
        <v>0.1</v>
      </c>
      <c r="V17" s="93">
        <v>7.4999999999999997E-2</v>
      </c>
      <c r="W17" s="94">
        <v>5.6250000000000001E-2</v>
      </c>
    </row>
    <row r="18" spans="1:23" ht="10.35" customHeight="1" x14ac:dyDescent="0.25">
      <c r="B18" s="52" t="str">
        <f>IF($J$1="ENG","AQR – data of asset quality review and collateral eligibility assessment for bank lending, including adjustments in the bank’s financial statements for the reporting year and extrapolation","AQR - 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екстраполяції")</f>
        <v>AQR - 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</v>
      </c>
    </row>
    <row r="19" spans="1:23" ht="9.6" customHeight="1" x14ac:dyDescent="0.25">
      <c r="B19" s="52" t="str">
        <f>IF($J$1="ENG","The adjusted bank data reflect annual adjustments based on the results of the audit of the financial statements, as well as a retrospective increase in the corporate income tax rate from 25% to 50%.","Скориговані дані банків відображають річні коригування за результатами аудиту фінансової звітності та ретроспективне підвищення ставки податку на прибуток із 25% до 50%.")</f>
        <v>Скориговані дані банків відображають річні коригування за результатами аудиту фінансової звітності та ретроспективне підвищення ставки податку на прибуток із 25% до 50%.</v>
      </c>
    </row>
    <row r="20" spans="1:23" ht="20.399999999999999" customHeight="1" x14ac:dyDescent="0.25">
      <c r="B20" s="179"/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</row>
    <row r="21" spans="1:23" ht="13.35" customHeight="1" x14ac:dyDescent="0.25">
      <c r="B21" s="95"/>
      <c r="C21" s="95" t="str">
        <f>IF($J$1="ENG","Common Equity Tier 1 capital ratio under baseline scenario","НОК1 за базовим сценарієм")</f>
        <v>НОК1 за базовим сценарієм</v>
      </c>
      <c r="D21" s="80"/>
      <c r="E21" s="80"/>
      <c r="F21" s="80"/>
      <c r="G21" s="80"/>
      <c r="H21" s="80"/>
      <c r="I21" s="95" t="str">
        <f>IF($J$1="ENG","Tier I ratio under baseline scenario","НК1 за базовим сценарієм")</f>
        <v>НК1 за базовим сценарієм</v>
      </c>
      <c r="K21" s="95"/>
      <c r="L21" s="71"/>
      <c r="M21" s="71"/>
      <c r="N21" s="71"/>
      <c r="O21" s="95" t="str">
        <f>IF($J$1="ENG","Regulatory Capital ratio under baseline scenario","НРК за базовим сценарієм")</f>
        <v>НРК за базовим сценарієм</v>
      </c>
      <c r="P21" s="68"/>
    </row>
    <row r="22" spans="1:23" x14ac:dyDescent="0.25">
      <c r="C22" s="80"/>
      <c r="D22" s="80"/>
      <c r="E22" s="80"/>
      <c r="F22" s="80"/>
      <c r="G22" s="80"/>
      <c r="H22" s="80"/>
      <c r="K22" s="71"/>
      <c r="L22" s="71"/>
      <c r="M22" s="71"/>
      <c r="N22" s="71"/>
      <c r="O22" s="71"/>
      <c r="P22" s="68"/>
      <c r="U22" s="41"/>
    </row>
    <row r="29" spans="1:23" x14ac:dyDescent="0.25"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</row>
    <row r="30" spans="1:23" x14ac:dyDescent="0.25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</row>
    <row r="31" spans="1:23" x14ac:dyDescent="0.25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</row>
    <row r="32" spans="1:23" x14ac:dyDescent="0.25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</row>
    <row r="33" spans="1:22" x14ac:dyDescent="0.25">
      <c r="A33" s="72"/>
      <c r="B33" s="72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</row>
    <row r="34" spans="1:22" x14ac:dyDescent="0.25">
      <c r="A34" s="72"/>
      <c r="B34" s="72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</row>
    <row r="35" spans="1:22" x14ac:dyDescent="0.25">
      <c r="A35" s="72"/>
      <c r="B35" s="122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</row>
    <row r="36" spans="1:22" x14ac:dyDescent="0.25">
      <c r="A36" s="72"/>
      <c r="B36" s="122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</row>
    <row r="37" spans="1:22" x14ac:dyDescent="0.25">
      <c r="A37" s="72"/>
      <c r="B37" s="122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</row>
    <row r="38" spans="1:22" x14ac:dyDescent="0.25">
      <c r="A38" s="72"/>
      <c r="B38" s="122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</row>
    <row r="39" spans="1:22" x14ac:dyDescent="0.25">
      <c r="A39" s="72"/>
      <c r="B39" s="122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</row>
    <row r="40" spans="1:22" x14ac:dyDescent="0.25">
      <c r="A40" s="72"/>
      <c r="B40" s="122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</row>
    <row r="41" spans="1:22" x14ac:dyDescent="0.25">
      <c r="A41" s="72"/>
      <c r="B41" s="123"/>
      <c r="C41" s="98" t="str">
        <f>IF($J$1="ENG","Common Equity Tier 1 capital ratio under adverse scenario","НОК1 за несприятливим сценарієм")</f>
        <v>НОК1 за несприятливим сценарієм</v>
      </c>
      <c r="D41" s="97"/>
      <c r="E41" s="97"/>
      <c r="F41" s="97"/>
      <c r="G41" s="97"/>
      <c r="H41" s="97"/>
      <c r="I41" s="98" t="str">
        <f>IF($J$1="ENG","Tier I ratio under adverse scenario","НК1 за несприятливим сценарієм")</f>
        <v>НК1 за несприятливим сценарієм</v>
      </c>
      <c r="J41" s="97"/>
      <c r="K41" s="97"/>
      <c r="L41" s="97"/>
      <c r="M41" s="97"/>
      <c r="N41" s="97"/>
      <c r="O41" s="98" t="str">
        <f>IF($J$1="ENG","Core capital ratio under adverse scenario","НРК за несприятливим сценарієм")</f>
        <v>НРК за несприятливим сценарієм</v>
      </c>
      <c r="P41" s="97"/>
      <c r="Q41" s="97"/>
      <c r="R41" s="97"/>
      <c r="S41" s="97"/>
      <c r="T41" s="97"/>
      <c r="U41" s="97"/>
      <c r="V41" s="97"/>
    </row>
    <row r="42" spans="1:22" x14ac:dyDescent="0.25">
      <c r="A42" s="72"/>
      <c r="B42" s="122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</row>
    <row r="43" spans="1:22" x14ac:dyDescent="0.25">
      <c r="A43" s="72"/>
      <c r="B43" s="122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</row>
    <row r="44" spans="1:22" x14ac:dyDescent="0.25">
      <c r="A44" s="72"/>
      <c r="B44" s="122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</row>
    <row r="45" spans="1:22" x14ac:dyDescent="0.25">
      <c r="A45" s="72"/>
      <c r="B45" s="72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</row>
    <row r="46" spans="1:22" x14ac:dyDescent="0.25">
      <c r="A46" s="72"/>
      <c r="B46" s="72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</row>
    <row r="47" spans="1:22" x14ac:dyDescent="0.25">
      <c r="A47" s="72"/>
      <c r="B47" s="72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</row>
    <row r="48" spans="1:22" x14ac:dyDescent="0.25">
      <c r="A48" s="72"/>
      <c r="B48" s="72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</row>
    <row r="49" spans="1:22" x14ac:dyDescent="0.25">
      <c r="A49" s="72"/>
      <c r="B49" s="72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</row>
    <row r="50" spans="1:22" x14ac:dyDescent="0.25">
      <c r="A50" s="72"/>
      <c r="B50" s="72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</row>
    <row r="51" spans="1:22" x14ac:dyDescent="0.25">
      <c r="A51" s="72"/>
      <c r="B51" s="72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</row>
    <row r="52" spans="1:22" x14ac:dyDescent="0.25"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</row>
    <row r="53" spans="1:22" x14ac:dyDescent="0.25"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</row>
    <row r="54" spans="1:22" x14ac:dyDescent="0.25"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</row>
    <row r="55" spans="1:22" x14ac:dyDescent="0.25"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</row>
    <row r="56" spans="1:22" x14ac:dyDescent="0.25"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</row>
    <row r="57" spans="1:22" x14ac:dyDescent="0.25"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</row>
    <row r="58" spans="1:22" x14ac:dyDescent="0.25"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</row>
    <row r="59" spans="1:22" x14ac:dyDescent="0.25"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</row>
    <row r="60" spans="1:22" x14ac:dyDescent="0.25"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</row>
    <row r="61" spans="1:22" x14ac:dyDescent="0.25"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</row>
    <row r="62" spans="1:22" x14ac:dyDescent="0.25"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</row>
    <row r="63" spans="1:22" x14ac:dyDescent="0.25"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</row>
    <row r="64" spans="1:22" x14ac:dyDescent="0.25"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</row>
    <row r="65" spans="2:21" x14ac:dyDescent="0.25"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</row>
    <row r="66" spans="2:21" x14ac:dyDescent="0.25"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</row>
    <row r="67" spans="2:21" x14ac:dyDescent="0.25"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</row>
    <row r="68" spans="2:21" x14ac:dyDescent="0.25"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</row>
    <row r="69" spans="2:21" x14ac:dyDescent="0.25"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</row>
    <row r="70" spans="2:21" x14ac:dyDescent="0.25"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</row>
    <row r="71" spans="2:21" x14ac:dyDescent="0.25"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</row>
    <row r="72" spans="2:21" x14ac:dyDescent="0.25"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</row>
    <row r="73" spans="2:21" x14ac:dyDescent="0.25"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</row>
    <row r="74" spans="2:21" x14ac:dyDescent="0.25">
      <c r="B74" s="72"/>
      <c r="C74" s="72"/>
      <c r="D74" s="72"/>
      <c r="E74" s="72"/>
      <c r="F74" s="72"/>
      <c r="G74" s="72"/>
      <c r="H74" s="72"/>
      <c r="I74" s="72"/>
    </row>
    <row r="75" spans="2:21" x14ac:dyDescent="0.25">
      <c r="B75" s="72"/>
      <c r="C75" s="72"/>
      <c r="D75" s="72"/>
      <c r="E75" s="72"/>
      <c r="F75" s="72"/>
      <c r="G75" s="72"/>
      <c r="H75" s="72"/>
      <c r="I75" s="72"/>
    </row>
    <row r="76" spans="2:21" x14ac:dyDescent="0.25">
      <c r="B76" s="72"/>
      <c r="C76" s="72"/>
      <c r="D76" s="72"/>
      <c r="E76" s="72"/>
      <c r="F76" s="72"/>
      <c r="G76" s="72"/>
      <c r="H76" s="72"/>
      <c r="I76" s="72"/>
    </row>
    <row r="77" spans="2:21" x14ac:dyDescent="0.25">
      <c r="B77" s="72"/>
      <c r="C77" s="72"/>
      <c r="D77" s="72"/>
      <c r="E77" s="72"/>
      <c r="F77" s="72"/>
      <c r="G77" s="72"/>
      <c r="H77" s="72"/>
      <c r="I77" s="72"/>
    </row>
  </sheetData>
  <mergeCells count="10">
    <mergeCell ref="B20:U20"/>
    <mergeCell ref="V5:V6"/>
    <mergeCell ref="W5:W6"/>
    <mergeCell ref="C10:W10"/>
    <mergeCell ref="C14:W14"/>
    <mergeCell ref="B5:B6"/>
    <mergeCell ref="C5:H5"/>
    <mergeCell ref="I5:N5"/>
    <mergeCell ref="O5:T5"/>
    <mergeCell ref="U5:U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5" r:id="rId4" name="Drop Down 3">
              <controlPr defaultSize="0" autoLine="0" autoPict="0">
                <anchor moveWithCells="1">
                  <from>
                    <xdr:col>8</xdr:col>
                    <xdr:colOff>121920</xdr:colOff>
                    <xdr:row>0</xdr:row>
                    <xdr:rowOff>0</xdr:rowOff>
                  </from>
                  <to>
                    <xdr:col>10</xdr:col>
                    <xdr:colOff>7620</xdr:colOff>
                    <xdr:row>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6" r:id="rId5" name="Drop Down 4">
              <controlPr defaultSize="0" autoLine="0" autoPict="0">
                <anchor moveWithCells="1">
                  <from>
                    <xdr:col>8</xdr:col>
                    <xdr:colOff>594360</xdr:colOff>
                    <xdr:row>0</xdr:row>
                    <xdr:rowOff>236220</xdr:rowOff>
                  </from>
                  <to>
                    <xdr:col>11</xdr:col>
                    <xdr:colOff>106680</xdr:colOff>
                    <xdr:row>2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Z79"/>
  <sheetViews>
    <sheetView zoomScale="80" zoomScaleNormal="80" workbookViewId="0">
      <selection activeCell="B19" sqref="B19:Z19"/>
    </sheetView>
  </sheetViews>
  <sheetFormatPr defaultColWidth="8.88671875" defaultRowHeight="13.2" x14ac:dyDescent="0.25"/>
  <cols>
    <col min="1" max="1" width="4" style="29" customWidth="1"/>
    <col min="2" max="2" width="18.88671875" style="29" customWidth="1"/>
    <col min="3" max="3" width="9.44140625" style="29" bestFit="1" customWidth="1"/>
    <col min="4" max="4" width="11.5546875" style="29" bestFit="1" customWidth="1"/>
    <col min="5" max="5" width="11.6640625" style="29" bestFit="1" customWidth="1"/>
    <col min="6" max="6" width="7.6640625" style="29" customWidth="1"/>
    <col min="7" max="7" width="8.109375" style="29" customWidth="1"/>
    <col min="8" max="8" width="9" style="29" customWidth="1"/>
    <col min="9" max="9" width="9.44140625" style="29" bestFit="1" customWidth="1"/>
    <col min="10" max="10" width="11.5546875" style="29" bestFit="1" customWidth="1"/>
    <col min="11" max="11" width="13.88671875" style="29" customWidth="1"/>
    <col min="12" max="12" width="7.88671875" style="29" customWidth="1"/>
    <col min="13" max="13" width="7.44140625" style="29" customWidth="1"/>
    <col min="14" max="14" width="8.88671875" style="29" customWidth="1"/>
    <col min="15" max="15" width="9.44140625" style="29" bestFit="1" customWidth="1"/>
    <col min="16" max="16" width="11.5546875" style="29" bestFit="1" customWidth="1"/>
    <col min="17" max="17" width="11.6640625" style="29" bestFit="1" customWidth="1"/>
    <col min="18" max="18" width="6.88671875" style="29" bestFit="1" customWidth="1"/>
    <col min="19" max="19" width="7.44140625" style="29" customWidth="1"/>
    <col min="20" max="20" width="6.88671875" style="29" bestFit="1" customWidth="1"/>
    <col min="21" max="21" width="9.44140625" style="29" bestFit="1" customWidth="1"/>
    <col min="22" max="22" width="11.5546875" style="29" bestFit="1" customWidth="1"/>
    <col min="23" max="23" width="8.33203125" style="29" bestFit="1" customWidth="1"/>
    <col min="24" max="24" width="6.88671875" style="29" bestFit="1" customWidth="1"/>
    <col min="25" max="25" width="8" style="29" customWidth="1"/>
    <col min="26" max="26" width="6.88671875" style="29" bestFit="1" customWidth="1"/>
    <col min="27" max="27" width="8.88671875" style="29" customWidth="1"/>
    <col min="28" max="16384" width="8.88671875" style="29"/>
  </cols>
  <sheetData>
    <row r="1" spans="2:26" x14ac:dyDescent="0.25">
      <c r="J1" s="30" t="str">
        <f>tech!J1</f>
        <v>UA</v>
      </c>
      <c r="K1" s="31" t="str">
        <f>IF($J$1="ENG","Змінити мову тут","Change language here")</f>
        <v>Change language here</v>
      </c>
    </row>
    <row r="2" spans="2:26" x14ac:dyDescent="0.25">
      <c r="B2" s="32" t="str">
        <f>IF($J$1="ENG","Stress test results (comparison across banks)","Результати стрес-тестування банку (порівняння банків)")</f>
        <v>Результати стрес-тестування банку (порівняння банків)</v>
      </c>
    </row>
    <row r="3" spans="2:26" x14ac:dyDescent="0.2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7" t="s">
        <v>65</v>
      </c>
    </row>
    <row r="4" spans="2:26" ht="23.4" customHeight="1" x14ac:dyDescent="0.25">
      <c r="B4" s="189" t="str">
        <f>IF($J$1="ENG","Indicator","Показник")</f>
        <v>Показник</v>
      </c>
      <c r="C4" s="88">
        <v>4</v>
      </c>
      <c r="D4" s="89" t="str">
        <f>IFERROR(INDEX(tech!$I$4:$I$24,C4,1),"")</f>
        <v>Укргазбанк</v>
      </c>
      <c r="E4" s="89">
        <f>IFERROR(INDEX(tech!$B$4:$B$24,C4,1),"")</f>
        <v>274</v>
      </c>
      <c r="F4" s="89"/>
      <c r="G4" s="89"/>
      <c r="H4" s="89"/>
      <c r="I4" s="88">
        <v>9</v>
      </c>
      <c r="J4" s="89" t="str">
        <f>IFERROR(INDEX(tech!$I$4:$I$24,I4,1),"")</f>
        <v>Креді Агріколь Банк</v>
      </c>
      <c r="K4" s="89">
        <f>IFERROR(INDEX(tech!$B$4:$B$24,I4,1),"")</f>
        <v>171</v>
      </c>
      <c r="L4" s="89"/>
      <c r="M4" s="89"/>
      <c r="N4" s="89"/>
      <c r="O4" s="88">
        <v>12</v>
      </c>
      <c r="P4" s="89" t="str">
        <f>IFERROR(INDEX(tech!$I$4:$I$24,O4,1),"")</f>
        <v>Правекс Банк</v>
      </c>
      <c r="Q4" s="89">
        <f>IFERROR(INDEX(tech!$B$4:$B$24,O4,1),"")</f>
        <v>153</v>
      </c>
      <c r="R4" s="89"/>
      <c r="S4" s="89"/>
      <c r="T4" s="89"/>
      <c r="U4" s="88">
        <v>13</v>
      </c>
      <c r="V4" s="89" t="str">
        <f>IFERROR(INDEX(tech!$I$4:$I$24,U4,1),"")</f>
        <v>ПУМБ</v>
      </c>
      <c r="W4" s="89">
        <f>IFERROR(INDEX(tech!$B$4:$B$24,U4,1),"")</f>
        <v>115</v>
      </c>
      <c r="X4" s="89"/>
      <c r="Y4" s="89"/>
      <c r="Z4" s="89"/>
    </row>
    <row r="5" spans="2:26" ht="63.75" customHeight="1" x14ac:dyDescent="0.25">
      <c r="B5" s="190"/>
      <c r="C5" s="90" t="str">
        <f>tech!U4</f>
        <v>ОК1, млн грн</v>
      </c>
      <c r="D5" s="91" t="str">
        <f>tech!U5</f>
        <v>К1, млн грн</v>
      </c>
      <c r="E5" s="91" t="str">
        <f>tech!U6</f>
        <v>РК, млн грн</v>
      </c>
      <c r="F5" s="91" t="str">
        <f>tech!U7</f>
        <v>НРК</v>
      </c>
      <c r="G5" s="91" t="str">
        <f>tech!U8</f>
        <v>НК1</v>
      </c>
      <c r="H5" s="92" t="str">
        <f>tech!U9</f>
        <v>НОК1</v>
      </c>
      <c r="I5" s="90" t="str">
        <f>C5</f>
        <v>ОК1, млн грн</v>
      </c>
      <c r="J5" s="91" t="str">
        <f t="shared" ref="J5:N5" si="0">D5</f>
        <v>К1, млн грн</v>
      </c>
      <c r="K5" s="91" t="str">
        <f t="shared" si="0"/>
        <v>РК, млн грн</v>
      </c>
      <c r="L5" s="91" t="str">
        <f t="shared" si="0"/>
        <v>НРК</v>
      </c>
      <c r="M5" s="91" t="str">
        <f t="shared" si="0"/>
        <v>НК1</v>
      </c>
      <c r="N5" s="92" t="str">
        <f t="shared" si="0"/>
        <v>НОК1</v>
      </c>
      <c r="O5" s="90" t="str">
        <f>I5</f>
        <v>ОК1, млн грн</v>
      </c>
      <c r="P5" s="91" t="str">
        <f t="shared" ref="P5" si="1">J5</f>
        <v>К1, млн грн</v>
      </c>
      <c r="Q5" s="91" t="str">
        <f t="shared" ref="Q5" si="2">K5</f>
        <v>РК, млн грн</v>
      </c>
      <c r="R5" s="91" t="str">
        <f t="shared" ref="R5" si="3">L5</f>
        <v>НРК</v>
      </c>
      <c r="S5" s="91" t="str">
        <f t="shared" ref="S5" si="4">M5</f>
        <v>НК1</v>
      </c>
      <c r="T5" s="92" t="str">
        <f t="shared" ref="T5" si="5">N5</f>
        <v>НОК1</v>
      </c>
      <c r="U5" s="90" t="str">
        <f>O5</f>
        <v>ОК1, млн грн</v>
      </c>
      <c r="V5" s="91" t="str">
        <f t="shared" ref="V5" si="6">P5</f>
        <v>К1, млн грн</v>
      </c>
      <c r="W5" s="91" t="str">
        <f t="shared" ref="W5" si="7">Q5</f>
        <v>РК, млн грн</v>
      </c>
      <c r="X5" s="91" t="str">
        <f t="shared" ref="X5" si="8">R5</f>
        <v>НРК</v>
      </c>
      <c r="Y5" s="91" t="str">
        <f t="shared" ref="Y5" si="9">S5</f>
        <v>НК1</v>
      </c>
      <c r="Z5" s="92" t="str">
        <f>T5</f>
        <v>НОК1</v>
      </c>
    </row>
    <row r="6" spans="2:26" ht="26.4" x14ac:dyDescent="0.25">
      <c r="B6" s="65" t="str">
        <f>IF($J$1="ENG","Bank's data as of 1 Jan ","Дані банку на 1 січня")</f>
        <v>Дані банку на 1 січня</v>
      </c>
      <c r="C6" s="78">
        <f>IFERROR(INDEX('Data table'!$B$10:$CB$30,MATCH($E$4,'Data table'!$B$10:$B$30,0),MATCH(5,'Data table'!$B$3:$CB$3,0)),"")</f>
        <v>13016</v>
      </c>
      <c r="D6" s="78">
        <f>IFERROR(INDEX('Data table'!$B$10:$CB$30,MATCH($E$4,'Data table'!$B$10:$B$30,0),MATCH(6,'Data table'!$B$3:$CB$3,0)),"")</f>
        <v>13016</v>
      </c>
      <c r="E6" s="78">
        <f>IFERROR(INDEX('Data table'!$B$10:$CB$30,MATCH($E$4,'Data table'!$B$10:$B$30,0),MATCH(7,'Data table'!$B$3:$CB$3,0)),"")</f>
        <v>13016</v>
      </c>
      <c r="F6" s="79">
        <f>IFERROR(INDEX('Data table'!$B$10:$CB$30,MATCH($E$4,'Data table'!$B$10:$B$30,0),MATCH(8,'Data table'!$B$3:$CB$3,0)),"")</f>
        <v>0.16370000000000001</v>
      </c>
      <c r="G6" s="79">
        <f>IFERROR(INDEX('Data table'!$B$10:$CB$30,MATCH($E$4,'Data table'!$B$10:$B$30,0),MATCH(9,'Data table'!$B$3:$CB$3,0)),"")</f>
        <v>0.16370000000000001</v>
      </c>
      <c r="H6" s="79">
        <f>IFERROR(INDEX('Data table'!$B$10:$CB$30,MATCH($E$4,'Data table'!$B$10:$B$30,0),MATCH(10,'Data table'!$B$3:$CB$3,0)),"")</f>
        <v>0.16370000000000001</v>
      </c>
      <c r="I6" s="78">
        <f>IFERROR(INDEX('Data table'!$B$10:$CB$30,MATCH($K$4,'Data table'!$B$10:$B$30,0),MATCH(5,'Data table'!$B$3:$CB$3,0)),"")</f>
        <v>8176</v>
      </c>
      <c r="J6" s="78">
        <f>IFERROR(INDEX('Data table'!$B$10:$CB$30,MATCH($K$4,'Data table'!$B$10:$B$30,0),MATCH(6,'Data table'!$B$3:$CB$3,0)),"")</f>
        <v>8176</v>
      </c>
      <c r="K6" s="78">
        <f>IFERROR(INDEX('Data table'!$B$10:$CB$30,MATCH($K$4,'Data table'!$B$10:$B$30,0),MATCH(7,'Data table'!$B$3:$CB$3,0)),"")</f>
        <v>8323</v>
      </c>
      <c r="L6" s="79">
        <f>IFERROR(INDEX('Data table'!$B$10:$CB$30,MATCH($K$4,'Data table'!$B$10:$B$30,0),MATCH(8,'Data table'!$B$3:$CB$3,0)),"")</f>
        <v>0.2014</v>
      </c>
      <c r="M6" s="79">
        <f>IFERROR(INDEX('Data table'!$B$10:$CB$30,MATCH($K$4,'Data table'!$B$10:$B$30,0),MATCH(9,'Data table'!$B$3:$CB$3,0)),"")</f>
        <v>0.1978</v>
      </c>
      <c r="N6" s="79">
        <f>IFERROR(INDEX('Data table'!$B$10:$CB$30,MATCH($K$4,'Data table'!$B$10:$B$30,0),MATCH(10,'Data table'!$B$3:$CB$3,0)),"")</f>
        <v>0.1978</v>
      </c>
      <c r="O6" s="78">
        <f>IFERROR(INDEX('Data table'!$B$10:$CB$30,MATCH($Q$4,'Data table'!$B$10:$B$30,0),MATCH(5,'Data table'!$B$3:$CB$3,0)),"")</f>
        <v>1560</v>
      </c>
      <c r="P6" s="78">
        <f>IFERROR(INDEX('Data table'!$B$10:$CB$30,MATCH($Q$4,'Data table'!$B$10:$B$30,0),MATCH(6,'Data table'!$B$3:$CB$3,0)),"")</f>
        <v>1560</v>
      </c>
      <c r="Q6" s="78">
        <f>IFERROR(INDEX('Data table'!$B$10:$CB$30,MATCH($Q$4,'Data table'!$B$10:$B$30,0),MATCH(7,'Data table'!$B$3:$CB$3,0)),"")</f>
        <v>1562</v>
      </c>
      <c r="R6" s="79">
        <f>IFERROR(INDEX('Data table'!$B$10:$CB$30,MATCH($Q$4,'Data table'!$B$10:$B$30,0),MATCH(8,'Data table'!$B$3:$CB$3,0)),"")</f>
        <v>0.38800000000000001</v>
      </c>
      <c r="S6" s="79">
        <f>IFERROR(INDEX('Data table'!$B$10:$CB$30,MATCH($Q$4,'Data table'!$B$10:$B$30,0),MATCH(9,'Data table'!$B$3:$CB$3,0)),"")</f>
        <v>0.38769999999999999</v>
      </c>
      <c r="T6" s="79">
        <f>IFERROR(INDEX('Data table'!$B$10:$CB$30,MATCH($Q$4,'Data table'!$B$10:$B$30,0),MATCH(10,'Data table'!$B$3:$CB$3,0)),"")</f>
        <v>0.38769999999999999</v>
      </c>
      <c r="U6" s="78">
        <f>IFERROR(INDEX('Data table'!$B$10:$CB$30,MATCH($W$4,'Data table'!$B$10:$B$30,0),MATCH(5,'Data table'!$B$3:$CB$3,0)),"")</f>
        <v>16997</v>
      </c>
      <c r="V6" s="78">
        <f>IFERROR(INDEX('Data table'!$B$10:$CB$30,MATCH($W$4,'Data table'!$B$10:$B$30,0),MATCH(6,'Data table'!$B$3:$CB$3,0)),"")</f>
        <v>16997</v>
      </c>
      <c r="W6" s="78">
        <f>IFERROR(INDEX('Data table'!$B$10:$CB$30,MATCH($W$4,'Data table'!$B$10:$B$30,0),MATCH(7,'Data table'!$B$3:$CB$3,0)),"")</f>
        <v>16997</v>
      </c>
      <c r="X6" s="79">
        <f>IFERROR(INDEX('Data table'!$B$10:$CB$30,MATCH($W$4,'Data table'!$B$10:$B$30,0),MATCH(8,'Data table'!$B$3:$CB$3,0)),"")</f>
        <v>0.16270000000000001</v>
      </c>
      <c r="Y6" s="79">
        <f>IFERROR(INDEX('Data table'!$B$10:$CB$30,MATCH($W$4,'Data table'!$B$10:$B$30,0),MATCH(9,'Data table'!$B$3:$CB$3,0)),"")</f>
        <v>0.16270000000000001</v>
      </c>
      <c r="Z6" s="79">
        <f>IFERROR(INDEX('Data table'!$B$10:$CB$30,MATCH($W$4,'Data table'!$B$10:$B$30,0),MATCH(10,'Data table'!$B$3:$CB$3,0)),"")</f>
        <v>0.16270000000000001</v>
      </c>
    </row>
    <row r="7" spans="2:26" x14ac:dyDescent="0.25">
      <c r="B7" s="65" t="str">
        <f>IF($J$1="ENG","Adjusted bank's data","Скориговані дані банку")</f>
        <v>Скориговані дані банку</v>
      </c>
      <c r="C7" s="78">
        <f>IFERROR(INDEX('Data table'!$B$10:$CB$30,MATCH($E$4,'Data table'!$B$10:$B$30,0),MATCH(12,'Data table'!$B$3:$CB$3,0)),"")</f>
        <v>11545</v>
      </c>
      <c r="D7" s="78">
        <f>IFERROR(INDEX('Data table'!$B$10:$CB$30,MATCH($E$4,'Data table'!$B$10:$B$30,0),MATCH(13,'Data table'!$B$3:$CB$3,0)),"")</f>
        <v>11545</v>
      </c>
      <c r="E7" s="78">
        <f>IFERROR(INDEX('Data table'!$B$10:$CB$30,MATCH($E$4,'Data table'!$B$10:$B$30,0),MATCH(14,'Data table'!$B$3:$CB$3,0)),"")</f>
        <v>11545</v>
      </c>
      <c r="F7" s="79">
        <f>IFERROR(INDEX('Data table'!$B$10:$CB$30,MATCH($E$4,'Data table'!$B$10:$B$30,0),MATCH(15,'Data table'!$B$3:$CB$3,0)),"")</f>
        <v>0.1477</v>
      </c>
      <c r="G7" s="79">
        <f>IFERROR(INDEX('Data table'!$B$10:$CB$30,MATCH($E$4,'Data table'!$B$10:$B$30,0),MATCH(16,'Data table'!$B$3:$CB$3,0)),"")</f>
        <v>0.1477</v>
      </c>
      <c r="H7" s="79">
        <f>IFERROR(INDEX('Data table'!$B$10:$CB$30,MATCH($E$4,'Data table'!$B$10:$B$30,0),MATCH(17,'Data table'!$B$3:$CB$3,0)),"")</f>
        <v>0.1477</v>
      </c>
      <c r="I7" s="78">
        <f>IFERROR(INDEX('Data table'!$B$10:$CB$30,MATCH($K$4,'Data table'!$B$10:$B$30,0),MATCH(12,'Data table'!$B$3:$CB$3,0)),"")</f>
        <v>8200</v>
      </c>
      <c r="J7" s="78">
        <f>IFERROR(INDEX('Data table'!$B$10:$CB$30,MATCH($K$4,'Data table'!$B$10:$B$30,0),MATCH(13,'Data table'!$B$3:$CB$3,0)),"")</f>
        <v>8200</v>
      </c>
      <c r="K7" s="78">
        <f>IFERROR(INDEX('Data table'!$B$10:$CB$30,MATCH($K$4,'Data table'!$B$10:$B$30,0),MATCH(14,'Data table'!$B$3:$CB$3,0)),"")</f>
        <v>8347</v>
      </c>
      <c r="L7" s="79">
        <f>IFERROR(INDEX('Data table'!$B$10:$CB$30,MATCH($K$4,'Data table'!$B$10:$B$30,0),MATCH(15,'Data table'!$B$3:$CB$3,0)),"")</f>
        <v>0.2021</v>
      </c>
      <c r="M7" s="79">
        <f>IFERROR(INDEX('Data table'!$B$10:$CB$30,MATCH($K$4,'Data table'!$B$10:$B$30,0),MATCH(16,'Data table'!$B$3:$CB$3,0)),"")</f>
        <v>0.19850000000000001</v>
      </c>
      <c r="N7" s="79">
        <f>IFERROR(INDEX('Data table'!$B$10:$CB$30,MATCH($K$4,'Data table'!$B$10:$B$30,0),MATCH(17,'Data table'!$B$3:$CB$3,0)),"")</f>
        <v>0.19850000000000001</v>
      </c>
      <c r="O7" s="78">
        <f>IFERROR(INDEX('Data table'!$B$10:$CB$30,MATCH($Q$4,'Data table'!$B$10:$B$30,0),MATCH(12,'Data table'!$B$3:$CB$3,0)),"")</f>
        <v>1492</v>
      </c>
      <c r="P7" s="78">
        <f>IFERROR(INDEX('Data table'!$B$10:$CB$30,MATCH($Q$4,'Data table'!$B$10:$B$30,0),MATCH(13,'Data table'!$B$3:$CB$3,0)),"")</f>
        <v>1492</v>
      </c>
      <c r="Q7" s="78">
        <f>IFERROR(INDEX('Data table'!$B$10:$CB$30,MATCH($Q$4,'Data table'!$B$10:$B$30,0),MATCH(14,'Data table'!$B$3:$CB$3,0)),"")</f>
        <v>1494</v>
      </c>
      <c r="R7" s="79">
        <f>IFERROR(INDEX('Data table'!$B$10:$CB$30,MATCH($Q$4,'Data table'!$B$10:$B$30,0),MATCH(15,'Data table'!$B$3:$CB$3,0)),"")</f>
        <v>0.36780000000000002</v>
      </c>
      <c r="S7" s="79">
        <f>IFERROR(INDEX('Data table'!$B$10:$CB$30,MATCH($Q$4,'Data table'!$B$10:$B$30,0),MATCH(16,'Data table'!$B$3:$CB$3,0)),"")</f>
        <v>0.3674</v>
      </c>
      <c r="T7" s="79">
        <f>IFERROR(INDEX('Data table'!$B$10:$CB$30,MATCH($Q$4,'Data table'!$B$10:$B$30,0),MATCH(17,'Data table'!$B$3:$CB$3,0)),"")</f>
        <v>0.3674</v>
      </c>
      <c r="U7" s="78">
        <f>IFERROR(INDEX('Data table'!$B$10:$CB$30,MATCH($W$4,'Data table'!$B$10:$B$30,0),MATCH(12,'Data table'!$B$3:$CB$3,0)),"")</f>
        <v>16376</v>
      </c>
      <c r="V7" s="78">
        <f>IFERROR(INDEX('Data table'!$B$10:$CB$30,MATCH($W$4,'Data table'!$B$10:$B$30,0),MATCH(13,'Data table'!$B$3:$CB$3,0)),"")</f>
        <v>16376</v>
      </c>
      <c r="W7" s="78">
        <f>IFERROR(INDEX('Data table'!$B$10:$CB$30,MATCH($W$4,'Data table'!$B$10:$B$30,0),MATCH(14,'Data table'!$B$3:$CB$3,0)),"")</f>
        <v>16376</v>
      </c>
      <c r="X7" s="79">
        <f>IFERROR(INDEX('Data table'!$B$10:$CB$30,MATCH($W$4,'Data table'!$B$10:$B$30,0),MATCH(15,'Data table'!$B$3:$CB$3,0)),"")</f>
        <v>0.15670000000000001</v>
      </c>
      <c r="Y7" s="79">
        <f>IFERROR(INDEX('Data table'!$B$10:$CB$30,MATCH($W$4,'Data table'!$B$10:$B$30,0),MATCH(16,'Data table'!$B$3:$CB$3,0)),"")</f>
        <v>0.15670000000000001</v>
      </c>
      <c r="Z7" s="79">
        <f>IFERROR(INDEX('Data table'!$B$10:$CB$30,MATCH($W$4,'Data table'!$B$10:$B$30,0),MATCH(17,'Data table'!$B$3:$CB$3,0)),"")</f>
        <v>0.15670000000000001</v>
      </c>
    </row>
    <row r="8" spans="2:26" x14ac:dyDescent="0.25">
      <c r="B8" s="62" t="str">
        <f>IF($J$1="ENG","AQR as of 1 Jan ","AQR на 01 січня")</f>
        <v>AQR на 01 січня</v>
      </c>
      <c r="C8" s="63">
        <f>IFERROR(INDEX('Data table'!$B$10:$CB$30,MATCH($E$4,'Data table'!$B$10:$B$30,0),MATCH(20,'Data table'!$B$3:$CB$3,0)),"")</f>
        <v>11545</v>
      </c>
      <c r="D8" s="63">
        <f>IFERROR(INDEX('Data table'!$B$10:$CB$30,MATCH($E$4,'Data table'!$B$10:$B$30,0),MATCH(21,'Data table'!$B$3:$CB$3,0)),"")</f>
        <v>11545</v>
      </c>
      <c r="E8" s="63">
        <f>IFERROR(INDEX('Data table'!$B$10:$CB$30,MATCH($E$4,'Data table'!$B$10:$B$30,0),MATCH(22,'Data table'!$B$3:$CB$3,0)),"")</f>
        <v>11545</v>
      </c>
      <c r="F8" s="61">
        <f>IFERROR(INDEX('Data table'!$B$10:$CB$30,MATCH($E$4,'Data table'!$B$10:$B$30,0),MATCH(23,'Data table'!$B$3:$CB$3,0)),"")</f>
        <v>0.1477</v>
      </c>
      <c r="G8" s="61">
        <f>IFERROR(INDEX('Data table'!$B$10:$CB$30,MATCH($E$4,'Data table'!$B$10:$B$30,0),MATCH(24,'Data table'!$B$3:$CB$3,0)),"")</f>
        <v>0.1477</v>
      </c>
      <c r="H8" s="61">
        <f>IFERROR(INDEX('Data table'!$B$10:$CB$30,MATCH($E$4,'Data table'!$B$10:$B$30,0),MATCH(25,'Data table'!$B$3:$CB$3,0)),"")</f>
        <v>0.1477</v>
      </c>
      <c r="I8" s="63">
        <f>IFERROR(INDEX('Data table'!$B$10:$CB$30,MATCH($K$4,'Data table'!$B$10:$B$30,0),MATCH(20,'Data table'!$B$3:$CB$3,0)),"")</f>
        <v>8200</v>
      </c>
      <c r="J8" s="63">
        <f>IFERROR(INDEX('Data table'!$B$10:$CB$30,MATCH($K$4,'Data table'!$B$10:$B$30,0),MATCH(21,'Data table'!$B$3:$CB$3,0)),"")</f>
        <v>8200</v>
      </c>
      <c r="K8" s="63">
        <f>IFERROR(INDEX('Data table'!$B$10:$CB$30,MATCH($K$4,'Data table'!$B$10:$B$30,0),MATCH(22,'Data table'!$B$3:$CB$3,0)),"")</f>
        <v>8347</v>
      </c>
      <c r="L8" s="61">
        <f>IFERROR(INDEX('Data table'!$B$10:$CB$30,MATCH($K$4,'Data table'!$B$10:$B$30,0),MATCH(23,'Data table'!$B$3:$CB$3,0)),"")</f>
        <v>0.2021</v>
      </c>
      <c r="M8" s="61">
        <f>IFERROR(INDEX('Data table'!$B$10:$CB$30,MATCH($K$4,'Data table'!$B$10:$B$30,0),MATCH(24,'Data table'!$B$3:$CB$3,0)),"")</f>
        <v>0.19850000000000001</v>
      </c>
      <c r="N8" s="61">
        <f>IFERROR(INDEX('Data table'!$B$10:$CB$30,MATCH($K$4,'Data table'!$B$10:$B$30,0),MATCH(25,'Data table'!$B$3:$CB$3,0)),"")</f>
        <v>0.19850000000000001</v>
      </c>
      <c r="O8" s="63">
        <f>IFERROR(INDEX('Data table'!$B$10:$CB$30,MATCH($Q$4,'Data table'!$B$10:$B$30,0),MATCH(20,'Data table'!$B$3:$CB$3,0)),"")</f>
        <v>1492</v>
      </c>
      <c r="P8" s="63">
        <f>IFERROR(INDEX('Data table'!$B$10:$CB$30,MATCH($Q$4,'Data table'!$B$10:$B$30,0),MATCH(21,'Data table'!$B$3:$CB$3,0)),"")</f>
        <v>1492</v>
      </c>
      <c r="Q8" s="63">
        <f>IFERROR(INDEX('Data table'!$B$10:$CB$30,MATCH($Q$4,'Data table'!$B$10:$B$30,0),MATCH(22,'Data table'!$B$3:$CB$3,0)),"")</f>
        <v>1494</v>
      </c>
      <c r="R8" s="61">
        <f>IFERROR(INDEX('Data table'!$B$10:$CB$30,MATCH($Q$4,'Data table'!$B$10:$B$30,0),MATCH(23,'Data table'!$B$3:$CB$3,0)),"")</f>
        <v>0.36770000000000003</v>
      </c>
      <c r="S8" s="61">
        <f>IFERROR(INDEX('Data table'!$B$10:$CB$30,MATCH($Q$4,'Data table'!$B$10:$B$30,0),MATCH(24,'Data table'!$B$3:$CB$3,0)),"")</f>
        <v>0.36730000000000002</v>
      </c>
      <c r="T8" s="61">
        <f>IFERROR(INDEX('Data table'!$B$10:$CB$30,MATCH($Q$4,'Data table'!$B$10:$B$30,0),MATCH(25,'Data table'!$B$3:$CB$3,0)),"")</f>
        <v>0.36730000000000002</v>
      </c>
      <c r="U8" s="63">
        <f>IFERROR(INDEX('Data table'!$B$10:$CB$30,MATCH($W$4,'Data table'!$B$10:$B$30,0),MATCH(20,'Data table'!$B$3:$CB$3,0)),"")</f>
        <v>16376</v>
      </c>
      <c r="V8" s="63">
        <f>IFERROR(INDEX('Data table'!$B$10:$CB$30,MATCH($W$4,'Data table'!$B$10:$B$30,0),MATCH(21,'Data table'!$B$3:$CB$3,0)),"")</f>
        <v>16376</v>
      </c>
      <c r="W8" s="63">
        <f>IFERROR(INDEX('Data table'!$B$10:$CB$30,MATCH($W$4,'Data table'!$B$10:$B$30,0),MATCH(22,'Data table'!$B$3:$CB$3,0)),"")</f>
        <v>16376</v>
      </c>
      <c r="X8" s="61">
        <f>IFERROR(INDEX('Data table'!$B$10:$CB$30,MATCH($W$4,'Data table'!$B$10:$B$30,0),MATCH(23,'Data table'!$B$3:$CB$3,0)),"")</f>
        <v>0.15670000000000001</v>
      </c>
      <c r="Y8" s="61">
        <f>IFERROR(INDEX('Data table'!$B$10:$CB$30,MATCH($W$4,'Data table'!$B$10:$B$30,0),MATCH(24,'Data table'!$B$3:$CB$3,0)),"")</f>
        <v>0.15670000000000001</v>
      </c>
      <c r="Z8" s="61">
        <f>IFERROR(INDEX('Data table'!$B$10:$CB$30,MATCH($W$4,'Data table'!$B$10:$B$30,0),MATCH(25,'Data table'!$B$3:$CB$3,0)),"")</f>
        <v>0.15670000000000001</v>
      </c>
    </row>
    <row r="9" spans="2:26" ht="13.2" customHeight="1" x14ac:dyDescent="0.25">
      <c r="B9" s="64" t="str">
        <f>IF($J$1="ENG","Forecast year","Прогнозний рік")</f>
        <v>Прогнозний рік</v>
      </c>
      <c r="C9" s="186" t="str">
        <f>IF($J$1="ENG","Baseline scenario","За базовим макроекономічним сценарієм")</f>
        <v>За базовим макроекономічним сценарієм</v>
      </c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8"/>
    </row>
    <row r="10" spans="2:26" x14ac:dyDescent="0.25">
      <c r="B10" s="65" t="str">
        <f>IF($J$1="ENG","1st year","1-й рік")</f>
        <v>1-й рік</v>
      </c>
      <c r="C10" s="63">
        <f>IFERROR(INDEX('Data table'!$B$10:$CB$30,MATCH($E$4,'Data table'!$B$10:$B$30,0),MATCH(27,'Data table'!$B$3:$CB$3,0)),"")</f>
        <v>14801</v>
      </c>
      <c r="D10" s="63">
        <f>IFERROR(INDEX('Data table'!$B$10:$CB$30,MATCH($E$4,'Data table'!$B$10:$B$30,0),MATCH(30,'Data table'!$B$3:$CB$3,0)),"")</f>
        <v>14801</v>
      </c>
      <c r="E10" s="63">
        <f>IFERROR(INDEX('Data table'!$B$10:$CB$30,MATCH($E$4,'Data table'!$B$10:$B$30,0),MATCH(33,'Data table'!$B$3:$CB$3,0)),"")</f>
        <v>14801</v>
      </c>
      <c r="F10" s="61">
        <f>IFERROR(INDEX('Data table'!$B$10:$CB$30,MATCH($E$4,'Data table'!$B$10:$B$30,0),MATCH(36,'Data table'!$B$3:$CB$3,0)),"")</f>
        <v>0.18099999999999999</v>
      </c>
      <c r="G10" s="61">
        <f>IFERROR(INDEX('Data table'!$B$10:$CB$30,MATCH($E$4,'Data table'!$B$10:$B$30,0),MATCH(39,'Data table'!$B$3:$CB$3,0)),"")</f>
        <v>0.18099999999999999</v>
      </c>
      <c r="H10" s="61">
        <f>IFERROR(INDEX('Data table'!$B$10:$CB$30,MATCH($E$4,'Data table'!$B$10:$B$30,0),MATCH(42,'Data table'!$B$3:$CB$3,0)),"")</f>
        <v>0.18099999999999999</v>
      </c>
      <c r="I10" s="63">
        <f>IFERROR(INDEX('Data table'!$B$10:$CB$30,MATCH($K$4,'Data table'!$B$10:$B$30,0),MATCH(27,'Data table'!$B$3:$CB$3,0)),"")</f>
        <v>16599</v>
      </c>
      <c r="J10" s="63">
        <f>IFERROR(INDEX('Data table'!$B$10:$CB$30,MATCH($K$4,'Data table'!$B$10:$B$30,0),MATCH(30,'Data table'!$B$3:$CB$3,0)),"")</f>
        <v>16599</v>
      </c>
      <c r="K10" s="63">
        <f>IFERROR(INDEX('Data table'!$B$10:$CB$30,MATCH($K$4,'Data table'!$B$10:$B$30,0),MATCH(33,'Data table'!$B$3:$CB$3,0)),"")</f>
        <v>16666</v>
      </c>
      <c r="L10" s="61">
        <f>IFERROR(INDEX('Data table'!$B$10:$CB$30,MATCH($K$4,'Data table'!$B$10:$B$30,0),MATCH(36,'Data table'!$B$3:$CB$3,0)),"")</f>
        <v>0.37280000000000002</v>
      </c>
      <c r="M10" s="61">
        <f>IFERROR(INDEX('Data table'!$B$10:$CB$30,MATCH($K$4,'Data table'!$B$10:$B$30,0),MATCH(39,'Data table'!$B$3:$CB$3,0)),"")</f>
        <v>0.37130000000000002</v>
      </c>
      <c r="N10" s="61">
        <f>IFERROR(INDEX('Data table'!$B$10:$CB$30,MATCH($K$4,'Data table'!$B$10:$B$30,0),MATCH(42,'Data table'!$B$3:$CB$3,0)),"")</f>
        <v>0.37130000000000002</v>
      </c>
      <c r="O10" s="63">
        <f>IFERROR(INDEX('Data table'!$B$10:$CB$30,MATCH($Q$4,'Data table'!$B$10:$B$30,0),MATCH(27,'Data table'!$B$3:$CB$3,0)),"")</f>
        <v>1235</v>
      </c>
      <c r="P10" s="63">
        <f>IFERROR(INDEX('Data table'!$B$10:$CB$30,MATCH($Q$4,'Data table'!$B$10:$B$30,0),MATCH(30,'Data table'!$B$3:$CB$3,0)),"")</f>
        <v>1235</v>
      </c>
      <c r="Q10" s="63">
        <f>IFERROR(INDEX('Data table'!$B$10:$CB$30,MATCH($Q$4,'Data table'!$B$10:$B$30,0),MATCH(33,'Data table'!$B$3:$CB$3,0)),"")</f>
        <v>1237</v>
      </c>
      <c r="R10" s="61">
        <f>IFERROR(INDEX('Data table'!$B$10:$CB$30,MATCH($Q$4,'Data table'!$B$10:$B$30,0),MATCH(36,'Data table'!$B$3:$CB$3,0)),"")</f>
        <v>0.3049</v>
      </c>
      <c r="S10" s="61">
        <f>IFERROR(INDEX('Data table'!$B$10:$CB$30,MATCH($Q$4,'Data table'!$B$10:$B$30,0),MATCH(39,'Data table'!$B$3:$CB$3,0)),"")</f>
        <v>0.30459999999999998</v>
      </c>
      <c r="T10" s="61">
        <f>IFERROR(INDEX('Data table'!$B$10:$CB$30,MATCH($Q$4,'Data table'!$B$10:$B$30,0),MATCH(42,'Data table'!$B$3:$CB$3,0)),"")</f>
        <v>0.30459999999999998</v>
      </c>
      <c r="U10" s="63">
        <f>IFERROR(INDEX('Data table'!$B$10:$CB$30,MATCH($W$4,'Data table'!$B$10:$B$30,0),MATCH(27,'Data table'!$B$3:$CB$3,0)),"")</f>
        <v>21133</v>
      </c>
      <c r="V10" s="63">
        <f>IFERROR(INDEX('Data table'!$B$10:$CB$30,MATCH($W$4,'Data table'!$B$10:$B$30,0),MATCH(30,'Data table'!$B$3:$CB$3,0)),"")</f>
        <v>21133</v>
      </c>
      <c r="W10" s="63">
        <f>IFERROR(INDEX('Data table'!$B$10:$CB$30,MATCH($W$4,'Data table'!$B$10:$B$30,0),MATCH(33,'Data table'!$B$3:$CB$3,0)),"")</f>
        <v>21133</v>
      </c>
      <c r="X10" s="61">
        <f>IFERROR(INDEX('Data table'!$B$10:$CB$30,MATCH($W$4,'Data table'!$B$10:$B$30,0),MATCH(36,'Data table'!$B$3:$CB$3,0)),"")</f>
        <v>0.1993</v>
      </c>
      <c r="Y10" s="61">
        <f>IFERROR(INDEX('Data table'!$B$10:$CB$30,MATCH($W$4,'Data table'!$B$10:$B$30,0),MATCH(39,'Data table'!$B$3:$CB$3,0)),"")</f>
        <v>0.1993</v>
      </c>
      <c r="Z10" s="61">
        <f>IFERROR(INDEX('Data table'!$B$10:$CB$30,MATCH($W$4,'Data table'!$B$10:$B$30,0),MATCH(42,'Data table'!$B$3:$CB$3,0)),"")</f>
        <v>0.1993</v>
      </c>
    </row>
    <row r="11" spans="2:26" x14ac:dyDescent="0.25">
      <c r="B11" s="65" t="str">
        <f>IF($J$1="ENG","2nd year","2-й рік")</f>
        <v>2-й рік</v>
      </c>
      <c r="C11" s="63">
        <f>IFERROR(INDEX('Data table'!$B$10:$CB$30,MATCH($E$4,'Data table'!$B$10:$B$30,0),MATCH(28,'Data table'!$B$3:$CB$3,0)),"")</f>
        <v>18278</v>
      </c>
      <c r="D11" s="63">
        <f>IFERROR(INDEX('Data table'!$B$10:$CB$30,MATCH($E$4,'Data table'!$B$10:$B$30,0),MATCH(31,'Data table'!$B$3:$CB$3,0)),"")</f>
        <v>18278</v>
      </c>
      <c r="E11" s="63">
        <f>IFERROR(INDEX('Data table'!$B$10:$CB$30,MATCH($E$4,'Data table'!$B$10:$B$30,0),MATCH(34,'Data table'!$B$3:$CB$3,0)),"")</f>
        <v>18278</v>
      </c>
      <c r="F11" s="61">
        <f>IFERROR(INDEX('Data table'!$B$10:$CB$30,MATCH($E$4,'Data table'!$B$10:$B$30,0),MATCH(37,'Data table'!$B$3:$CB$3,0)),"")</f>
        <v>0.21490000000000001</v>
      </c>
      <c r="G11" s="61">
        <f>IFERROR(INDEX('Data table'!$B$10:$CB$30,MATCH($E$4,'Data table'!$B$10:$B$30,0),MATCH(40,'Data table'!$B$3:$CB$3,0)),"")</f>
        <v>0.21490000000000001</v>
      </c>
      <c r="H11" s="61">
        <f>IFERROR(INDEX('Data table'!$B$10:$CB$30,MATCH($E$4,'Data table'!$B$10:$B$30,0),MATCH(43,'Data table'!$B$3:$CB$3,0)),"")</f>
        <v>0.21490000000000001</v>
      </c>
      <c r="I11" s="63">
        <f>IFERROR(INDEX('Data table'!$B$10:$CB$30,MATCH($K$4,'Data table'!$B$10:$B$30,0),MATCH(28,'Data table'!$B$3:$CB$3,0)),"")</f>
        <v>19995</v>
      </c>
      <c r="J11" s="63">
        <f>IFERROR(INDEX('Data table'!$B$10:$CB$30,MATCH($K$4,'Data table'!$B$10:$B$30,0),MATCH(31,'Data table'!$B$3:$CB$3,0)),"")</f>
        <v>19995</v>
      </c>
      <c r="K11" s="63">
        <f>IFERROR(INDEX('Data table'!$B$10:$CB$30,MATCH($K$4,'Data table'!$B$10:$B$30,0),MATCH(34,'Data table'!$B$3:$CB$3,0)),"")</f>
        <v>19995</v>
      </c>
      <c r="L11" s="61">
        <f>IFERROR(INDEX('Data table'!$B$10:$CB$30,MATCH($K$4,'Data table'!$B$10:$B$30,0),MATCH(37,'Data table'!$B$3:$CB$3,0)),"")</f>
        <v>0.42920000000000003</v>
      </c>
      <c r="M11" s="61">
        <f>IFERROR(INDEX('Data table'!$B$10:$CB$30,MATCH($K$4,'Data table'!$B$10:$B$30,0),MATCH(40,'Data table'!$B$3:$CB$3,0)),"")</f>
        <v>0.42920000000000003</v>
      </c>
      <c r="N11" s="61">
        <f>IFERROR(INDEX('Data table'!$B$10:$CB$30,MATCH($K$4,'Data table'!$B$10:$B$30,0),MATCH(43,'Data table'!$B$3:$CB$3,0)),"")</f>
        <v>0.42920000000000003</v>
      </c>
      <c r="O11" s="63">
        <f>IFERROR(INDEX('Data table'!$B$10:$CB$30,MATCH($Q$4,'Data table'!$B$10:$B$30,0),MATCH(28,'Data table'!$B$3:$CB$3,0)),"")</f>
        <v>880</v>
      </c>
      <c r="P11" s="63">
        <f>IFERROR(INDEX('Data table'!$B$10:$CB$30,MATCH($Q$4,'Data table'!$B$10:$B$30,0),MATCH(31,'Data table'!$B$3:$CB$3,0)),"")</f>
        <v>880</v>
      </c>
      <c r="Q11" s="63">
        <f>IFERROR(INDEX('Data table'!$B$10:$CB$30,MATCH($Q$4,'Data table'!$B$10:$B$30,0),MATCH(34,'Data table'!$B$3:$CB$3,0)),"")</f>
        <v>881</v>
      </c>
      <c r="R11" s="61">
        <f>IFERROR(INDEX('Data table'!$B$10:$CB$30,MATCH($Q$4,'Data table'!$B$10:$B$30,0),MATCH(37,'Data table'!$B$3:$CB$3,0)),"")</f>
        <v>0.2145</v>
      </c>
      <c r="S11" s="61">
        <f>IFERROR(INDEX('Data table'!$B$10:$CB$30,MATCH($Q$4,'Data table'!$B$10:$B$30,0),MATCH(40,'Data table'!$B$3:$CB$3,0)),"")</f>
        <v>0.21410000000000001</v>
      </c>
      <c r="T11" s="61">
        <f>IFERROR(INDEX('Data table'!$B$10:$CB$30,MATCH($Q$4,'Data table'!$B$10:$B$30,0),MATCH(43,'Data table'!$B$3:$CB$3,0)),"")</f>
        <v>0.21410000000000001</v>
      </c>
      <c r="U11" s="63">
        <f>IFERROR(INDEX('Data table'!$B$10:$CB$30,MATCH($W$4,'Data table'!$B$10:$B$30,0),MATCH(28,'Data table'!$B$3:$CB$3,0)),"")</f>
        <v>24261</v>
      </c>
      <c r="V11" s="63">
        <f>IFERROR(INDEX('Data table'!$B$10:$CB$30,MATCH($W$4,'Data table'!$B$10:$B$30,0),MATCH(31,'Data table'!$B$3:$CB$3,0)),"")</f>
        <v>24261</v>
      </c>
      <c r="W11" s="63">
        <f>IFERROR(INDEX('Data table'!$B$10:$CB$30,MATCH($W$4,'Data table'!$B$10:$B$30,0),MATCH(34,'Data table'!$B$3:$CB$3,0)),"")</f>
        <v>24261</v>
      </c>
      <c r="X11" s="61">
        <f>IFERROR(INDEX('Data table'!$B$10:$CB$30,MATCH($W$4,'Data table'!$B$10:$B$30,0),MATCH(37,'Data table'!$B$3:$CB$3,0)),"")</f>
        <v>0.22539999999999999</v>
      </c>
      <c r="Y11" s="61">
        <f>IFERROR(INDEX('Data table'!$B$10:$CB$30,MATCH($W$4,'Data table'!$B$10:$B$30,0),MATCH(40,'Data table'!$B$3:$CB$3,0)),"")</f>
        <v>0.22539999999999999</v>
      </c>
      <c r="Z11" s="61">
        <f>IFERROR(INDEX('Data table'!$B$10:$CB$30,MATCH($W$4,'Data table'!$B$10:$B$30,0),MATCH(43,'Data table'!$B$3:$CB$3,0)),"")</f>
        <v>0.22539999999999999</v>
      </c>
    </row>
    <row r="12" spans="2:26" x14ac:dyDescent="0.25">
      <c r="B12" s="65" t="str">
        <f>IF($J$1="ENG","3rd year","3-й рік")</f>
        <v>3-й рік</v>
      </c>
      <c r="C12" s="63">
        <f>IFERROR(INDEX('Data table'!$B$10:$CB$30,MATCH($E$4,'Data table'!$B$10:$B$30,0),MATCH(29,'Data table'!$B$3:$CB$3,0)),"")</f>
        <v>20658</v>
      </c>
      <c r="D12" s="63">
        <f>IFERROR(INDEX('Data table'!$B$10:$CB$30,MATCH($E$4,'Data table'!$B$10:$B$30,0),MATCH(32,'Data table'!$B$3:$CB$3,0)),"")</f>
        <v>20658</v>
      </c>
      <c r="E12" s="63">
        <f>IFERROR(INDEX('Data table'!$B$10:$CB$30,MATCH($E$4,'Data table'!$B$10:$B$30,0),MATCH(35,'Data table'!$B$3:$CB$3,0)),"")</f>
        <v>20658</v>
      </c>
      <c r="F12" s="61">
        <f>IFERROR(INDEX('Data table'!$B$10:$CB$30,MATCH($E$4,'Data table'!$B$10:$B$30,0),MATCH(38,'Data table'!$B$3:$CB$3,0)),"")</f>
        <v>0.23960000000000001</v>
      </c>
      <c r="G12" s="61">
        <f>IFERROR(INDEX('Data table'!$B$10:$CB$30,MATCH($E$4,'Data table'!$B$10:$B$30,0),MATCH(41,'Data table'!$B$3:$CB$3,0)),"")</f>
        <v>0.23960000000000001</v>
      </c>
      <c r="H12" s="61">
        <f>IFERROR(INDEX('Data table'!$B$10:$CB$30,MATCH($E$4,'Data table'!$B$10:$B$30,0),MATCH(44,'Data table'!$B$3:$CB$3,0)),"")</f>
        <v>0.23960000000000001</v>
      </c>
      <c r="I12" s="63">
        <f>IFERROR(INDEX('Data table'!$B$10:$CB$30,MATCH($K$4,'Data table'!$B$10:$B$30,0),MATCH(29,'Data table'!$B$3:$CB$3,0)),"")</f>
        <v>22757</v>
      </c>
      <c r="J12" s="63">
        <f>IFERROR(INDEX('Data table'!$B$10:$CB$30,MATCH($K$4,'Data table'!$B$10:$B$30,0),MATCH(32,'Data table'!$B$3:$CB$3,0)),"")</f>
        <v>22757</v>
      </c>
      <c r="K12" s="63">
        <f>IFERROR(INDEX('Data table'!$B$10:$CB$30,MATCH($K$4,'Data table'!$B$10:$B$30,0),MATCH(35,'Data table'!$B$3:$CB$3,0)),"")</f>
        <v>22757</v>
      </c>
      <c r="L12" s="61">
        <f>IFERROR(INDEX('Data table'!$B$10:$CB$30,MATCH($K$4,'Data table'!$B$10:$B$30,0),MATCH(38,'Data table'!$B$3:$CB$3,0)),"")</f>
        <v>0.49180000000000001</v>
      </c>
      <c r="M12" s="61">
        <f>IFERROR(INDEX('Data table'!$B$10:$CB$30,MATCH($K$4,'Data table'!$B$10:$B$30,0),MATCH(41,'Data table'!$B$3:$CB$3,0)),"")</f>
        <v>0.49180000000000001</v>
      </c>
      <c r="N12" s="61">
        <f>IFERROR(INDEX('Data table'!$B$10:$CB$30,MATCH($K$4,'Data table'!$B$10:$B$30,0),MATCH(44,'Data table'!$B$3:$CB$3,0)),"")</f>
        <v>0.49180000000000001</v>
      </c>
      <c r="O12" s="63">
        <f>IFERROR(INDEX('Data table'!$B$10:$CB$30,MATCH($Q$4,'Data table'!$B$10:$B$30,0),MATCH(29,'Data table'!$B$3:$CB$3,0)),"")</f>
        <v>429</v>
      </c>
      <c r="P12" s="63">
        <f>IFERROR(INDEX('Data table'!$B$10:$CB$30,MATCH($Q$4,'Data table'!$B$10:$B$30,0),MATCH(32,'Data table'!$B$3:$CB$3,0)),"")</f>
        <v>429</v>
      </c>
      <c r="Q12" s="63">
        <f>IFERROR(INDEX('Data table'!$B$10:$CB$30,MATCH($Q$4,'Data table'!$B$10:$B$30,0),MATCH(35,'Data table'!$B$3:$CB$3,0)),"")</f>
        <v>431</v>
      </c>
      <c r="R12" s="61">
        <f>IFERROR(INDEX('Data table'!$B$10:$CB$30,MATCH($Q$4,'Data table'!$B$10:$B$30,0),MATCH(38,'Data table'!$B$3:$CB$3,0)),"")</f>
        <v>0.1041</v>
      </c>
      <c r="S12" s="61">
        <f>IFERROR(INDEX('Data table'!$B$10:$CB$30,MATCH($Q$4,'Data table'!$B$10:$B$30,0),MATCH(41,'Data table'!$B$3:$CB$3,0)),"")</f>
        <v>0.1037</v>
      </c>
      <c r="T12" s="61">
        <f>IFERROR(INDEX('Data table'!$B$10:$CB$30,MATCH($Q$4,'Data table'!$B$10:$B$30,0),MATCH(44,'Data table'!$B$3:$CB$3,0)),"")</f>
        <v>0.1037</v>
      </c>
      <c r="U12" s="63">
        <f>IFERROR(INDEX('Data table'!$B$10:$CB$30,MATCH($W$4,'Data table'!$B$10:$B$30,0),MATCH(29,'Data table'!$B$3:$CB$3,0)),"")</f>
        <v>26309</v>
      </c>
      <c r="V12" s="63">
        <f>IFERROR(INDEX('Data table'!$B$10:$CB$30,MATCH($W$4,'Data table'!$B$10:$B$30,0),MATCH(32,'Data table'!$B$3:$CB$3,0)),"")</f>
        <v>26309</v>
      </c>
      <c r="W12" s="63">
        <f>IFERROR(INDEX('Data table'!$B$10:$CB$30,MATCH($W$4,'Data table'!$B$10:$B$30,0),MATCH(35,'Data table'!$B$3:$CB$3,0)),"")</f>
        <v>26309</v>
      </c>
      <c r="X12" s="61">
        <f>IFERROR(INDEX('Data table'!$B$10:$CB$30,MATCH($W$4,'Data table'!$B$10:$B$30,0),MATCH(38,'Data table'!$B$3:$CB$3,0)),"")</f>
        <v>0.24479999999999999</v>
      </c>
      <c r="Y12" s="61">
        <f>IFERROR(INDEX('Data table'!$B$10:$CB$30,MATCH($W$4,'Data table'!$B$10:$B$30,0),MATCH(41,'Data table'!$B$3:$CB$3,0)),"")</f>
        <v>0.24479999999999999</v>
      </c>
      <c r="Z12" s="61">
        <f>IFERROR(INDEX('Data table'!$B$10:$CB$30,MATCH($W$4,'Data table'!$B$10:$B$30,0),MATCH(44,'Data table'!$B$3:$CB$3,0)),"")</f>
        <v>0.24479999999999999</v>
      </c>
    </row>
    <row r="13" spans="2:26" ht="13.2" customHeight="1" x14ac:dyDescent="0.25">
      <c r="B13" s="64" t="str">
        <f>IF($J$1="ENG","Forecast year","Прогнозний рік")</f>
        <v>Прогнозний рік</v>
      </c>
      <c r="C13" s="186" t="str">
        <f>IF($J$1="ENG","Adverse scenario","За несприятливим макроекономічним сценарієм")</f>
        <v>За несприятливим макроекономічним сценарієм</v>
      </c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8"/>
    </row>
    <row r="14" spans="2:26" ht="14.4" customHeight="1" x14ac:dyDescent="0.25">
      <c r="B14" s="65" t="str">
        <f>IF($J$1="ENG","1st year","1-й рік")</f>
        <v>1-й рік</v>
      </c>
      <c r="C14" s="63">
        <f>IFERROR(INDEX('Data table'!$B$10:$CB$30,MATCH($E$4,'Data table'!$B$10:$B$30,0),MATCH(48,'Data table'!$B$3:$CB$3,0)),"")</f>
        <v>12269</v>
      </c>
      <c r="D14" s="63">
        <f>IFERROR(INDEX('Data table'!$B$10:$CB$30,MATCH($E$4,'Data table'!$B$10:$B$30,0),MATCH(51,'Data table'!$B$3:$CB$3,0)),"")</f>
        <v>12269</v>
      </c>
      <c r="E14" s="63">
        <f>IFERROR(INDEX('Data table'!$B$10:$CB$30,MATCH($E$4,'Data table'!$B$10:$B$30,0),MATCH(54,'Data table'!$B$3:$CB$3,0)),"")</f>
        <v>12269</v>
      </c>
      <c r="F14" s="61">
        <f>IFERROR(INDEX('Data table'!$B$10:$CB$30,MATCH($E$4,'Data table'!$B$10:$B$30,0),MATCH(57,'Data table'!$B$3:$CB$3,0)),"")</f>
        <v>0.1467</v>
      </c>
      <c r="G14" s="61">
        <f>IFERROR(INDEX('Data table'!$B$10:$CB$30,MATCH($E$4,'Data table'!$B$10:$B$30,0),MATCH(60,'Data table'!$B$3:$CB$3,0)),"")</f>
        <v>0.1467</v>
      </c>
      <c r="H14" s="61">
        <f>IFERROR(INDEX('Data table'!$B$10:$CB$30,MATCH($E$4,'Data table'!$B$10:$B$30,0),MATCH(63,'Data table'!$B$3:$CB$3,0)),"")</f>
        <v>0.1467</v>
      </c>
      <c r="I14" s="63">
        <f>IFERROR(INDEX('Data table'!$B$10:$CB$30,MATCH($K$4,'Data table'!$B$10:$B$30,0),MATCH(48,'Data table'!$B$3:$CB$3,0)),"")</f>
        <v>15986</v>
      </c>
      <c r="J14" s="63">
        <f>IFERROR(INDEX('Data table'!$B$10:$CB$30,MATCH($K$4,'Data table'!$B$10:$B$30,0),MATCH(51,'Data table'!$B$3:$CB$3,0)),"")</f>
        <v>15986</v>
      </c>
      <c r="K14" s="63">
        <f>IFERROR(INDEX('Data table'!$B$10:$CB$30,MATCH($K$4,'Data table'!$B$10:$B$30,0),MATCH(54,'Data table'!$B$3:$CB$3,0)),"")</f>
        <v>16058</v>
      </c>
      <c r="L14" s="61">
        <f>IFERROR(INDEX('Data table'!$B$10:$CB$30,MATCH($K$4,'Data table'!$B$10:$B$30,0),MATCH(57,'Data table'!$B$3:$CB$3,0)),"")</f>
        <v>0.35220000000000001</v>
      </c>
      <c r="M14" s="61">
        <f>IFERROR(INDEX('Data table'!$B$10:$CB$30,MATCH($K$4,'Data table'!$B$10:$B$30,0),MATCH(60,'Data table'!$B$3:$CB$3,0)),"")</f>
        <v>0.35060000000000002</v>
      </c>
      <c r="N14" s="61">
        <f>IFERROR(INDEX('Data table'!$B$10:$CB$30,MATCH($K$4,'Data table'!$B$10:$B$30,0),MATCH(63,'Data table'!$B$3:$CB$3,0)),"")</f>
        <v>0.35060000000000002</v>
      </c>
      <c r="O14" s="63">
        <f>IFERROR(INDEX('Data table'!$B$10:$CB$30,MATCH($Q$4,'Data table'!$B$10:$B$30,0),MATCH(48,'Data table'!$B$3:$CB$3,0)),"")</f>
        <v>1029</v>
      </c>
      <c r="P14" s="63">
        <f>IFERROR(INDEX('Data table'!$B$10:$CB$30,MATCH($Q$4,'Data table'!$B$10:$B$30,0),MATCH(51,'Data table'!$B$3:$CB$3,0)),"")</f>
        <v>1029</v>
      </c>
      <c r="Q14" s="63">
        <f>IFERROR(INDEX('Data table'!$B$10:$CB$30,MATCH($Q$4,'Data table'!$B$10:$B$30,0),MATCH(54,'Data table'!$B$3:$CB$3,0)),"")</f>
        <v>1030</v>
      </c>
      <c r="R14" s="61">
        <f>IFERROR(INDEX('Data table'!$B$10:$CB$30,MATCH($Q$4,'Data table'!$B$10:$B$30,0),MATCH(57,'Data table'!$B$3:$CB$3,0)),"")</f>
        <v>0.255</v>
      </c>
      <c r="S14" s="61">
        <f>IFERROR(INDEX('Data table'!$B$10:$CB$30,MATCH($Q$4,'Data table'!$B$10:$B$30,0),MATCH(60,'Data table'!$B$3:$CB$3,0)),"")</f>
        <v>0.25459999999999999</v>
      </c>
      <c r="T14" s="61">
        <f>IFERROR(INDEX('Data table'!$B$10:$CB$30,MATCH($Q$4,'Data table'!$B$10:$B$30,0),MATCH(63,'Data table'!$B$3:$CB$3,0)),"")</f>
        <v>0.25459999999999999</v>
      </c>
      <c r="U14" s="63">
        <f>IFERROR(INDEX('Data table'!$B$10:$CB$30,MATCH($W$4,'Data table'!$B$10:$B$30,0),MATCH(48,'Data table'!$B$3:$CB$3,0)),"")</f>
        <v>17541</v>
      </c>
      <c r="V14" s="63">
        <f>IFERROR(INDEX('Data table'!$B$10:$CB$30,MATCH($W$4,'Data table'!$B$10:$B$30,0),MATCH(51,'Data table'!$B$3:$CB$3,0)),"")</f>
        <v>17541</v>
      </c>
      <c r="W14" s="63">
        <f>IFERROR(INDEX('Data table'!$B$10:$CB$30,MATCH($W$4,'Data table'!$B$10:$B$30,0),MATCH(54,'Data table'!$B$3:$CB$3,0)),"")</f>
        <v>17541</v>
      </c>
      <c r="X14" s="61">
        <f>IFERROR(INDEX('Data table'!$B$10:$CB$30,MATCH($W$4,'Data table'!$B$10:$B$30,0),MATCH(57,'Data table'!$B$3:$CB$3,0)),"")</f>
        <v>0.16500000000000001</v>
      </c>
      <c r="Y14" s="61">
        <f>IFERROR(INDEX('Data table'!$B$10:$CB$30,MATCH($W$4,'Data table'!$B$10:$B$30,0),MATCH(60,'Data table'!$B$3:$CB$3,0)),"")</f>
        <v>0.16500000000000001</v>
      </c>
      <c r="Z14" s="61">
        <f>IFERROR(INDEX('Data table'!$B$10:$CB$30,MATCH($W$4,'Data table'!$B$10:$B$30,0),MATCH(63,'Data table'!$B$3:$CB$3,0)),"")</f>
        <v>0.16500000000000001</v>
      </c>
    </row>
    <row r="15" spans="2:26" x14ac:dyDescent="0.25">
      <c r="B15" s="65" t="str">
        <f>IF($J$1="ENG","2nd year","2-й рік")</f>
        <v>2-й рік</v>
      </c>
      <c r="C15" s="63">
        <f>IFERROR(INDEX('Data table'!$B$10:$CB$30,MATCH($E$4,'Data table'!$B$10:$B$30,0),MATCH(49,'Data table'!$B$3:$CB$3,0)),"")</f>
        <v>11558</v>
      </c>
      <c r="D15" s="63">
        <f>IFERROR(INDEX('Data table'!$B$10:$CB$30,MATCH($E$4,'Data table'!$B$10:$B$30,0),MATCH(52,'Data table'!$B$3:$CB$3,0)),"")</f>
        <v>11558</v>
      </c>
      <c r="E15" s="63">
        <f>IFERROR(INDEX('Data table'!$B$10:$CB$30,MATCH($E$4,'Data table'!$B$10:$B$30,0),MATCH(55,'Data table'!$B$3:$CB$3,0)),"")</f>
        <v>11558</v>
      </c>
      <c r="F15" s="61">
        <f>IFERROR(INDEX('Data table'!$B$10:$CB$30,MATCH($E$4,'Data table'!$B$10:$B$30,0),MATCH(58,'Data table'!$B$3:$CB$3,0)),"")</f>
        <v>0.1328</v>
      </c>
      <c r="G15" s="61">
        <f>IFERROR(INDEX('Data table'!$B$10:$CB$30,MATCH($E$4,'Data table'!$B$10:$B$30,0),MATCH(61,'Data table'!$B$3:$CB$3,0)),"")</f>
        <v>0.1328</v>
      </c>
      <c r="H15" s="61">
        <f>IFERROR(INDEX('Data table'!$B$10:$CB$30,MATCH($E$4,'Data table'!$B$10:$B$30,0),MATCH(64,'Data table'!$B$3:$CB$3,0)),"")</f>
        <v>0.1328</v>
      </c>
      <c r="I15" s="63">
        <f>IFERROR(INDEX('Data table'!$B$10:$CB$30,MATCH($K$4,'Data table'!$B$10:$B$30,0),MATCH(49,'Data table'!$B$3:$CB$3,0)),"")</f>
        <v>18865</v>
      </c>
      <c r="J15" s="63">
        <f>IFERROR(INDEX('Data table'!$B$10:$CB$30,MATCH($K$4,'Data table'!$B$10:$B$30,0),MATCH(52,'Data table'!$B$3:$CB$3,0)),"")</f>
        <v>18865</v>
      </c>
      <c r="K15" s="63">
        <f>IFERROR(INDEX('Data table'!$B$10:$CB$30,MATCH($K$4,'Data table'!$B$10:$B$30,0),MATCH(55,'Data table'!$B$3:$CB$3,0)),"")</f>
        <v>18865</v>
      </c>
      <c r="L15" s="61">
        <f>IFERROR(INDEX('Data table'!$B$10:$CB$30,MATCH($K$4,'Data table'!$B$10:$B$30,0),MATCH(58,'Data table'!$B$3:$CB$3,0)),"")</f>
        <v>0.39119999999999999</v>
      </c>
      <c r="M15" s="61">
        <f>IFERROR(INDEX('Data table'!$B$10:$CB$30,MATCH($K$4,'Data table'!$B$10:$B$30,0),MATCH(61,'Data table'!$B$3:$CB$3,0)),"")</f>
        <v>0.39119999999999999</v>
      </c>
      <c r="N15" s="61">
        <f>IFERROR(INDEX('Data table'!$B$10:$CB$30,MATCH($K$4,'Data table'!$B$10:$B$30,0),MATCH(64,'Data table'!$B$3:$CB$3,0)),"")</f>
        <v>0.39119999999999999</v>
      </c>
      <c r="O15" s="63">
        <f>IFERROR(INDEX('Data table'!$B$10:$CB$30,MATCH($Q$4,'Data table'!$B$10:$B$30,0),MATCH(49,'Data table'!$B$3:$CB$3,0)),"")</f>
        <v>376</v>
      </c>
      <c r="P15" s="63">
        <f>IFERROR(INDEX('Data table'!$B$10:$CB$30,MATCH($Q$4,'Data table'!$B$10:$B$30,0),MATCH(52,'Data table'!$B$3:$CB$3,0)),"")</f>
        <v>376</v>
      </c>
      <c r="Q15" s="63">
        <f>IFERROR(INDEX('Data table'!$B$10:$CB$30,MATCH($Q$4,'Data table'!$B$10:$B$30,0),MATCH(55,'Data table'!$B$3:$CB$3,0)),"")</f>
        <v>377</v>
      </c>
      <c r="R15" s="61">
        <f>IFERROR(INDEX('Data table'!$B$10:$CB$30,MATCH($Q$4,'Data table'!$B$10:$B$30,0),MATCH(58,'Data table'!$B$3:$CB$3,0)),"")</f>
        <v>9.5399999999999999E-2</v>
      </c>
      <c r="S15" s="61">
        <f>IFERROR(INDEX('Data table'!$B$10:$CB$30,MATCH($Q$4,'Data table'!$B$10:$B$30,0),MATCH(61,'Data table'!$B$3:$CB$3,0)),"")</f>
        <v>9.5000000000000001E-2</v>
      </c>
      <c r="T15" s="61">
        <f>IFERROR(INDEX('Data table'!$B$10:$CB$30,MATCH($Q$4,'Data table'!$B$10:$B$30,0),MATCH(64,'Data table'!$B$3:$CB$3,0)),"")</f>
        <v>9.5000000000000001E-2</v>
      </c>
      <c r="U15" s="63">
        <f>IFERROR(INDEX('Data table'!$B$10:$CB$30,MATCH($W$4,'Data table'!$B$10:$B$30,0),MATCH(49,'Data table'!$B$3:$CB$3,0)),"")</f>
        <v>17093</v>
      </c>
      <c r="V15" s="63">
        <f>IFERROR(INDEX('Data table'!$B$10:$CB$30,MATCH($W$4,'Data table'!$B$10:$B$30,0),MATCH(52,'Data table'!$B$3:$CB$3,0)),"")</f>
        <v>17093</v>
      </c>
      <c r="W15" s="63">
        <f>IFERROR(INDEX('Data table'!$B$10:$CB$30,MATCH($W$4,'Data table'!$B$10:$B$30,0),MATCH(55,'Data table'!$B$3:$CB$3,0)),"")</f>
        <v>17093</v>
      </c>
      <c r="X15" s="61">
        <f>IFERROR(INDEX('Data table'!$B$10:$CB$30,MATCH($W$4,'Data table'!$B$10:$B$30,0),MATCH(58,'Data table'!$B$3:$CB$3,0)),"")</f>
        <v>0.15939999999999999</v>
      </c>
      <c r="Y15" s="61">
        <f>IFERROR(INDEX('Data table'!$B$10:$CB$30,MATCH($W$4,'Data table'!$B$10:$B$30,0),MATCH(61,'Data table'!$B$3:$CB$3,0)),"")</f>
        <v>0.15939999999999999</v>
      </c>
      <c r="Z15" s="61">
        <f>IFERROR(INDEX('Data table'!$B$10:$CB$30,MATCH($W$4,'Data table'!$B$10:$B$30,0),MATCH(64,'Data table'!$B$3:$CB$3,0)),"")</f>
        <v>0.15939999999999999</v>
      </c>
    </row>
    <row r="16" spans="2:26" x14ac:dyDescent="0.25">
      <c r="B16" s="65" t="str">
        <f>IF($J$1="ENG","3rd year","3-й рік")</f>
        <v>3-й рік</v>
      </c>
      <c r="C16" s="63">
        <f>IFERROR(INDEX('Data table'!$B$10:$CB$30,MATCH($E$4,'Data table'!$B$10:$B$30,0),MATCH(50,'Data table'!$B$3:$CB$3,0)),"")</f>
        <v>13119</v>
      </c>
      <c r="D16" s="63">
        <f>IFERROR(INDEX('Data table'!$B$10:$CB$30,MATCH($E$4,'Data table'!$B$10:$B$30,0),MATCH(53,'Data table'!$B$3:$CB$3,0)),"")</f>
        <v>13119</v>
      </c>
      <c r="E16" s="63">
        <f>IFERROR(INDEX('Data table'!$B$10:$CB$30,MATCH($E$4,'Data table'!$B$10:$B$30,0),MATCH(56,'Data table'!$B$3:$CB$3,0)),"")</f>
        <v>13119</v>
      </c>
      <c r="F16" s="61">
        <f>IFERROR(INDEX('Data table'!$B$10:$CB$30,MATCH($E$4,'Data table'!$B$10:$B$30,0),MATCH(59,'Data table'!$B$3:$CB$3,0)),"")</f>
        <v>0.1497</v>
      </c>
      <c r="G16" s="61">
        <f>IFERROR(INDEX('Data table'!$B$10:$CB$30,MATCH($E$4,'Data table'!$B$10:$B$30,0),MATCH(62,'Data table'!$B$3:$CB$3,0)),"")</f>
        <v>0.1497</v>
      </c>
      <c r="H16" s="61">
        <f>IFERROR(INDEX('Data table'!$B$10:$CB$30,MATCH($E$4,'Data table'!$B$10:$B$30,0),MATCH(65,'Data table'!$B$3:$CB$3,0)),"")</f>
        <v>0.1497</v>
      </c>
      <c r="I16" s="63">
        <f>IFERROR(INDEX('Data table'!$B$10:$CB$30,MATCH($K$4,'Data table'!$B$10:$B$30,0),MATCH(50,'Data table'!$B$3:$CB$3,0)),"")</f>
        <v>22186</v>
      </c>
      <c r="J16" s="63">
        <f>IFERROR(INDEX('Data table'!$B$10:$CB$30,MATCH($K$4,'Data table'!$B$10:$B$30,0),MATCH(53,'Data table'!$B$3:$CB$3,0)),"")</f>
        <v>22186</v>
      </c>
      <c r="K16" s="63">
        <f>IFERROR(INDEX('Data table'!$B$10:$CB$30,MATCH($K$4,'Data table'!$B$10:$B$30,0),MATCH(56,'Data table'!$B$3:$CB$3,0)),"")</f>
        <v>22186</v>
      </c>
      <c r="L16" s="61">
        <f>IFERROR(INDEX('Data table'!$B$10:$CB$30,MATCH($K$4,'Data table'!$B$10:$B$30,0),MATCH(59,'Data table'!$B$3:$CB$3,0)),"")</f>
        <v>0.45979999999999999</v>
      </c>
      <c r="M16" s="61">
        <f>IFERROR(INDEX('Data table'!$B$10:$CB$30,MATCH($K$4,'Data table'!$B$10:$B$30,0),MATCH(62,'Data table'!$B$3:$CB$3,0)),"")</f>
        <v>0.45979999999999999</v>
      </c>
      <c r="N16" s="61">
        <f>IFERROR(INDEX('Data table'!$B$10:$CB$30,MATCH($K$4,'Data table'!$B$10:$B$30,0),MATCH(65,'Data table'!$B$3:$CB$3,0)),"")</f>
        <v>0.45979999999999999</v>
      </c>
      <c r="O16" s="63">
        <f>IFERROR(INDEX('Data table'!$B$10:$CB$30,MATCH($Q$4,'Data table'!$B$10:$B$30,0),MATCH(50,'Data table'!$B$3:$CB$3,0)),"")</f>
        <v>-80</v>
      </c>
      <c r="P16" s="63">
        <f>IFERROR(INDEX('Data table'!$B$10:$CB$30,MATCH($Q$4,'Data table'!$B$10:$B$30,0),MATCH(53,'Data table'!$B$3:$CB$3,0)),"")</f>
        <v>-80</v>
      </c>
      <c r="Q16" s="63">
        <f>IFERROR(INDEX('Data table'!$B$10:$CB$30,MATCH($Q$4,'Data table'!$B$10:$B$30,0),MATCH(56,'Data table'!$B$3:$CB$3,0)),"")</f>
        <v>-78</v>
      </c>
      <c r="R16" s="61">
        <f>IFERROR(INDEX('Data table'!$B$10:$CB$30,MATCH($Q$4,'Data table'!$B$10:$B$30,0),MATCH(59,'Data table'!$B$3:$CB$3,0)),"")</f>
        <v>-1.9699999999999999E-2</v>
      </c>
      <c r="S16" s="61">
        <f>IFERROR(INDEX('Data table'!$B$10:$CB$30,MATCH($Q$4,'Data table'!$B$10:$B$30,0),MATCH(62,'Data table'!$B$3:$CB$3,0)),"")</f>
        <v>-2.01E-2</v>
      </c>
      <c r="T16" s="61">
        <f>IFERROR(INDEX('Data table'!$B$10:$CB$30,MATCH($Q$4,'Data table'!$B$10:$B$30,0),MATCH(65,'Data table'!$B$3:$CB$3,0)),"")</f>
        <v>-2.01E-2</v>
      </c>
      <c r="U16" s="63">
        <f>IFERROR(INDEX('Data table'!$B$10:$CB$30,MATCH($W$4,'Data table'!$B$10:$B$30,0),MATCH(50,'Data table'!$B$3:$CB$3,0)),"")</f>
        <v>18666</v>
      </c>
      <c r="V16" s="63">
        <f>IFERROR(INDEX('Data table'!$B$10:$CB$30,MATCH($W$4,'Data table'!$B$10:$B$30,0),MATCH(53,'Data table'!$B$3:$CB$3,0)),"")</f>
        <v>18666</v>
      </c>
      <c r="W16" s="63">
        <f>IFERROR(INDEX('Data table'!$B$10:$CB$30,MATCH($W$4,'Data table'!$B$10:$B$30,0),MATCH(56,'Data table'!$B$3:$CB$3,0)),"")</f>
        <v>18666</v>
      </c>
      <c r="X16" s="61">
        <f>IFERROR(INDEX('Data table'!$B$10:$CB$30,MATCH($W$4,'Data table'!$B$10:$B$30,0),MATCH(59,'Data table'!$B$3:$CB$3,0)),"")</f>
        <v>0.17549999999999999</v>
      </c>
      <c r="Y16" s="61">
        <f>IFERROR(INDEX('Data table'!$B$10:$CB$30,MATCH($W$4,'Data table'!$B$10:$B$30,0),MATCH(62,'Data table'!$B$3:$CB$3,0)),"")</f>
        <v>0.17549999999999999</v>
      </c>
      <c r="Z16" s="61">
        <f>IFERROR(INDEX('Data table'!$B$10:$CB$30,MATCH($W$4,'Data table'!$B$10:$B$30,0),MATCH(65,'Data table'!$B$3:$CB$3,0)),"")</f>
        <v>0.17549999999999999</v>
      </c>
    </row>
    <row r="17" spans="2:26" ht="12" customHeight="1" x14ac:dyDescent="0.25">
      <c r="B17" s="52" t="str">
        <f>IF($J$1="ENG","AQR – data of asset quality review and collateral eligibility assessment for bank lending, including adjustments in the bank’s financial statements for the reporting year and extrapolation","AQR - 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екстраполяції")</f>
        <v>AQR - 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</v>
      </c>
      <c r="C17" s="67"/>
      <c r="D17" s="67"/>
      <c r="E17" s="67"/>
      <c r="F17" s="59"/>
      <c r="G17" s="59"/>
      <c r="H17" s="59"/>
      <c r="I17" s="53"/>
      <c r="J17" s="53"/>
      <c r="K17" s="53"/>
      <c r="L17" s="59"/>
      <c r="M17" s="59"/>
      <c r="N17" s="59"/>
      <c r="O17" s="53"/>
      <c r="P17" s="53"/>
      <c r="Q17" s="53"/>
      <c r="R17" s="59"/>
      <c r="S17" s="59"/>
      <c r="T17" s="59"/>
      <c r="U17" s="53"/>
      <c r="V17" s="53"/>
      <c r="W17" s="53"/>
      <c r="X17" s="59"/>
      <c r="Y17" s="59"/>
      <c r="Z17" s="59"/>
    </row>
    <row r="18" spans="2:26" ht="11.4" customHeight="1" x14ac:dyDescent="0.25">
      <c r="B18" s="52" t="str">
        <f>IF($J$1="ENG","The adjusted bank data reflect annual adjustments based on the results of the audit of the financial statements, as well as a retrospective increase in the corporate income tax rate from 25% to 50%.","Скориговані дані банків відображають річні коригування за результатами аудиту фінансової звітності та ретроспективне підвищення ставки податку на прибуток із 25% до 50%.")</f>
        <v>Скориговані дані банків відображають річні коригування за результатами аудиту фінансової звітності та ретроспективне підвищення ставки податку на прибуток із 25% до 50%.</v>
      </c>
      <c r="C18" s="67"/>
      <c r="D18" s="67"/>
      <c r="E18" s="67"/>
      <c r="F18" s="59"/>
      <c r="G18" s="59"/>
      <c r="N18" s="59"/>
      <c r="O18" s="53"/>
      <c r="P18" s="53"/>
      <c r="Q18" s="53"/>
      <c r="R18" s="59"/>
      <c r="S18" s="59"/>
      <c r="T18" s="59"/>
      <c r="U18" s="53"/>
      <c r="V18" s="53"/>
      <c r="W18" s="53"/>
      <c r="X18" s="59"/>
      <c r="Y18" s="59"/>
      <c r="Z18" s="59"/>
    </row>
    <row r="19" spans="2:26" ht="23.4" customHeight="1" x14ac:dyDescent="0.25"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</row>
    <row r="20" spans="2:26" ht="13.2" customHeight="1" x14ac:dyDescent="0.25">
      <c r="B20" s="82" t="str">
        <f>IF($J$1="ENG","Common Equity Tier 1 capital under baseline scenario, 
UAH mln","Основний капітал за базовим сценарієм, 
млн грн")</f>
        <v>Основний капітал за базовим сценарієм, 
млн грн</v>
      </c>
      <c r="C20" s="68"/>
      <c r="D20" s="68"/>
      <c r="E20" s="68"/>
      <c r="F20" s="68"/>
      <c r="G20" s="68"/>
      <c r="H20" s="68"/>
      <c r="I20" s="82" t="str">
        <f>IF($J$1="ENG","Tier I capital under baseline scenario, 
UAH mln","К1 за базовим сценарієм, 
млн грн")</f>
        <v>К1 за базовим сценарієм, 
млн грн</v>
      </c>
      <c r="J20" s="68"/>
      <c r="K20" s="68"/>
      <c r="L20" s="68"/>
      <c r="M20" s="68"/>
      <c r="N20" s="68"/>
      <c r="O20" s="68"/>
      <c r="P20" s="82" t="str">
        <f>IF($J$1="ENG","Regulatory capital under baseline scenario, 
UAH mln","РК за базовим сценарієм, 
млн грн")</f>
        <v>РК за базовим сценарієм, 
млн грн</v>
      </c>
      <c r="Q20" s="68"/>
      <c r="R20" s="68"/>
      <c r="S20" s="68"/>
      <c r="T20" s="68"/>
      <c r="U20" s="68"/>
      <c r="V20" s="68"/>
      <c r="W20" s="68"/>
      <c r="X20" s="68"/>
      <c r="Y20" s="68"/>
      <c r="Z20" s="68"/>
    </row>
    <row r="21" spans="2:26" x14ac:dyDescent="0.25">
      <c r="B21" s="80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</row>
    <row r="39" spans="2:18" ht="13.8" x14ac:dyDescent="0.25">
      <c r="B39" s="82" t="str">
        <f>IF($J$1="ENG","Common Equity Tier 1 capital ratio under baseline scenario","Норматив ОК1 за базовим сценарієм")</f>
        <v>Норматив ОК1 за базовим сценарієм</v>
      </c>
      <c r="H39" s="29">
        <f t="shared" ref="H39" si="10">G39+1</f>
        <v>1</v>
      </c>
      <c r="I39" s="82" t="str">
        <f>IF($J$1="ENG","Tier I ratio under baseline scenario","НК1 за базовим сценарієм")</f>
        <v>НК1 за базовим сценарієм</v>
      </c>
      <c r="P39" s="82" t="str">
        <f>IF($J$1="ENG","Regulatory capital ratio under baseline scenario","НРК за базовим сценарієм")</f>
        <v>НРК за базовим сценарієм</v>
      </c>
      <c r="R39" s="82"/>
    </row>
    <row r="41" spans="2:18" x14ac:dyDescent="0.25">
      <c r="J41" s="32"/>
    </row>
    <row r="59" spans="2:18" ht="13.8" x14ac:dyDescent="0.25">
      <c r="B59" s="82" t="str">
        <f>IF($J$1="ENG","Common Equity Tier 1 capital under adverse scenario,
UAH mln","Основний капітал за несприятливим 
сценарієм, млн грн")</f>
        <v>Основний капітал за несприятливим 
сценарієм, млн грн</v>
      </c>
      <c r="I59" s="82" t="str">
        <f>IF($J$1="ENG","Tier I  under adverse scenario,
UAH mln","К1 за несприятливим 
сценарієм, млн грн")</f>
        <v>К1 за несприятливим 
сценарієм, млн грн</v>
      </c>
      <c r="P59" s="82" t="str">
        <f>IF($J$1="ENG","Regulatory capital  under adverse scenario,
UAH mln","РК за несприятливим 
сценарієм, млн грн")</f>
        <v>РК за несприятливим 
сценарієм, млн грн</v>
      </c>
      <c r="R59" s="82"/>
    </row>
    <row r="79" spans="2:18" ht="13.8" x14ac:dyDescent="0.25">
      <c r="B79" s="82" t="str">
        <f>IF($J$1="ENG","Common Equity Tier 1 capital ratio under adverse scenario","Норматив достатності OK1 за несприятливим сценарієм")</f>
        <v>Норматив достатності OK1 за несприятливим сценарієм</v>
      </c>
      <c r="I79" s="82" t="str">
        <f>IF($J$1="ENG","Tier I ratio under adverse scenario","НK1 за несприятливим сценарієм")</f>
        <v>НK1 за несприятливим сценарієм</v>
      </c>
      <c r="P79" s="82" t="str">
        <f>IF($J$1="ENG","Regulatory capital ratio under adverse scenario","НРK за несприятливим сценарієм")</f>
        <v>НРK за несприятливим сценарієм</v>
      </c>
      <c r="R79" s="82"/>
    </row>
  </sheetData>
  <mergeCells count="4">
    <mergeCell ref="B4:B5"/>
    <mergeCell ref="C9:Z9"/>
    <mergeCell ref="C13:Z13"/>
    <mergeCell ref="B19:Z1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4" name="Drop Down 1">
              <controlPr defaultSize="0" autoLine="0" autoPict="0">
                <anchor moveWithCells="1">
                  <from>
                    <xdr:col>2</xdr:col>
                    <xdr:colOff>457200</xdr:colOff>
                    <xdr:row>3</xdr:row>
                    <xdr:rowOff>0</xdr:rowOff>
                  </from>
                  <to>
                    <xdr:col>6</xdr:col>
                    <xdr:colOff>220980</xdr:colOff>
                    <xdr:row>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5" name="Drop Down 2">
              <controlPr defaultSize="0" autoLine="0" autoPict="0">
                <anchor moveWithCells="1">
                  <from>
                    <xdr:col>8</xdr:col>
                    <xdr:colOff>464820</xdr:colOff>
                    <xdr:row>3</xdr:row>
                    <xdr:rowOff>7620</xdr:rowOff>
                  </from>
                  <to>
                    <xdr:col>12</xdr:col>
                    <xdr:colOff>68580</xdr:colOff>
                    <xdr:row>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1" r:id="rId6" name="Drop Down 3">
              <controlPr defaultSize="0" autoLine="0" autoPict="0">
                <anchor moveWithCells="1">
                  <from>
                    <xdr:col>14</xdr:col>
                    <xdr:colOff>419100</xdr:colOff>
                    <xdr:row>3</xdr:row>
                    <xdr:rowOff>7620</xdr:rowOff>
                  </from>
                  <to>
                    <xdr:col>18</xdr:col>
                    <xdr:colOff>236220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2" r:id="rId7" name="Drop Down 4">
              <controlPr defaultSize="0" autoLine="0" autoPict="0">
                <anchor moveWithCells="1">
                  <from>
                    <xdr:col>20</xdr:col>
                    <xdr:colOff>411480</xdr:colOff>
                    <xdr:row>2</xdr:row>
                    <xdr:rowOff>152400</xdr:rowOff>
                  </from>
                  <to>
                    <xdr:col>24</xdr:col>
                    <xdr:colOff>464820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4" r:id="rId8" name="Drop Down 6">
              <controlPr defaultSize="0" autoLine="0" autoPict="0">
                <anchor moveWithCells="1">
                  <from>
                    <xdr:col>6</xdr:col>
                    <xdr:colOff>198120</xdr:colOff>
                    <xdr:row>0</xdr:row>
                    <xdr:rowOff>22860</xdr:rowOff>
                  </from>
                  <to>
                    <xdr:col>10</xdr:col>
                    <xdr:colOff>0</xdr:colOff>
                    <xdr:row>1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H55"/>
  <sheetViews>
    <sheetView showGridLines="0" zoomScaleNormal="100" workbookViewId="0">
      <pane xSplit="4" ySplit="9" topLeftCell="E10" activePane="bottomRight" state="frozen"/>
      <selection pane="topRight" activeCell="F1" sqref="F1"/>
      <selection pane="bottomLeft" activeCell="A10" sqref="A10"/>
      <selection pane="bottomRight" activeCell="BT7" sqref="BT7:BT8"/>
    </sheetView>
  </sheetViews>
  <sheetFormatPr defaultColWidth="9.109375" defaultRowHeight="13.2" x14ac:dyDescent="0.25"/>
  <cols>
    <col min="1" max="2" width="4.6640625" style="144" customWidth="1"/>
    <col min="3" max="3" width="18.6640625" style="144" customWidth="1"/>
    <col min="4" max="4" width="22.5546875" style="144" customWidth="1"/>
    <col min="5" max="10" width="10.44140625" style="144" bestFit="1" customWidth="1"/>
    <col min="11" max="11" width="13.44140625" style="144" hidden="1" customWidth="1"/>
    <col min="12" max="17" width="10.44140625" style="144" bestFit="1" customWidth="1"/>
    <col min="18" max="18" width="13.33203125" style="144" hidden="1" customWidth="1"/>
    <col min="19" max="19" width="13.33203125" style="144" customWidth="1"/>
    <col min="20" max="25" width="10.44140625" style="144" bestFit="1" customWidth="1"/>
    <col min="26" max="26" width="12.44140625" style="144" hidden="1" customWidth="1"/>
    <col min="27" max="44" width="10.44140625" style="144" bestFit="1" customWidth="1"/>
    <col min="45" max="47" width="10.44140625" style="144" hidden="1" customWidth="1"/>
    <col min="48" max="48" width="9.5546875" style="144" bestFit="1" customWidth="1"/>
    <col min="49" max="50" width="10.44140625" style="144" bestFit="1" customWidth="1"/>
    <col min="51" max="51" width="9.5546875" style="144" bestFit="1" customWidth="1"/>
    <col min="52" max="53" width="10.44140625" style="144" bestFit="1" customWidth="1"/>
    <col min="54" max="56" width="9.5546875" style="144" bestFit="1" customWidth="1"/>
    <col min="57" max="65" width="10.44140625" style="144" bestFit="1" customWidth="1"/>
    <col min="66" max="67" width="10.44140625" style="144" hidden="1" customWidth="1"/>
    <col min="68" max="68" width="9.5546875" style="144" hidden="1" customWidth="1"/>
    <col min="69" max="69" width="10.44140625" style="144" bestFit="1" customWidth="1"/>
    <col min="70" max="70" width="9.44140625" style="144" bestFit="1" customWidth="1"/>
    <col min="71" max="71" width="8.44140625" style="144" bestFit="1" customWidth="1"/>
    <col min="72" max="72" width="9.88671875" style="144" customWidth="1"/>
    <col min="73" max="74" width="8.44140625" style="144" customWidth="1"/>
    <col min="75" max="76" width="10.44140625" style="144" bestFit="1" customWidth="1"/>
    <col min="77" max="77" width="9.5546875" style="144" bestFit="1" customWidth="1"/>
    <col min="78" max="78" width="10.44140625" style="144" customWidth="1"/>
    <col min="79" max="79" width="9.44140625" style="144" bestFit="1" customWidth="1"/>
    <col min="80" max="80" width="8.6640625" style="144" customWidth="1"/>
    <col min="81" max="81" width="10.6640625" style="144" customWidth="1"/>
    <col min="82" max="82" width="9" style="144" bestFit="1" customWidth="1"/>
    <col min="83" max="83" width="11.33203125" style="144" customWidth="1"/>
    <col min="84" max="84" width="9" style="144" customWidth="1"/>
    <col min="85" max="85" width="9" style="144" bestFit="1" customWidth="1"/>
    <col min="86" max="86" width="7" style="144" bestFit="1" customWidth="1"/>
    <col min="87" max="88" width="9.44140625" style="144" bestFit="1" customWidth="1"/>
    <col min="89" max="89" width="4" style="144" bestFit="1" customWidth="1"/>
    <col min="90" max="90" width="5" style="144" bestFit="1" customWidth="1"/>
    <col min="91" max="91" width="19.109375" style="144" bestFit="1" customWidth="1"/>
    <col min="92" max="92" width="10.44140625" style="144" bestFit="1" customWidth="1"/>
    <col min="93" max="93" width="11.5546875" style="144" bestFit="1" customWidth="1"/>
    <col min="94" max="94" width="11.109375" style="144" bestFit="1" customWidth="1"/>
    <col min="95" max="95" width="10.44140625" style="144" bestFit="1" customWidth="1"/>
    <col min="96" max="112" width="9.33203125" style="144" bestFit="1" customWidth="1"/>
    <col min="113" max="16384" width="9.109375" style="144"/>
  </cols>
  <sheetData>
    <row r="1" spans="1:112" s="143" customFormat="1" x14ac:dyDescent="0.25">
      <c r="A1" s="144"/>
      <c r="B1" s="144"/>
      <c r="C1" s="144"/>
      <c r="D1" s="144"/>
      <c r="E1" s="144"/>
      <c r="F1" s="144"/>
      <c r="G1" s="144"/>
      <c r="I1" s="144" t="str">
        <f>tech!$J$1</f>
        <v>UA</v>
      </c>
      <c r="J1" s="15" t="str">
        <f>IF($I$1="ENG","Змінити мову тут","Change language here")</f>
        <v>Change language here</v>
      </c>
      <c r="CF1" s="144"/>
      <c r="CG1" s="144"/>
      <c r="CH1" s="144"/>
      <c r="CI1" s="144"/>
      <c r="CJ1" s="144"/>
      <c r="CK1" s="144"/>
      <c r="CL1" s="144"/>
      <c r="CM1" s="144"/>
      <c r="CN1" s="144"/>
      <c r="CO1" s="144"/>
    </row>
    <row r="2" spans="1:112" s="143" customFormat="1" x14ac:dyDescent="0.25">
      <c r="B2" s="16" t="str">
        <f>IF($I$1="ENG","Results of stress test of banks and Ukrainian banking system","Результати стрес-тестування банків та банківської системи України")</f>
        <v>Результати стрес-тестування банків та банківської системи України</v>
      </c>
      <c r="CF2" s="144"/>
      <c r="CG2" s="144"/>
      <c r="CH2" s="144"/>
      <c r="CI2" s="144"/>
      <c r="CJ2" s="144"/>
      <c r="CK2" s="144"/>
      <c r="CL2" s="144"/>
      <c r="CM2" s="144"/>
      <c r="CN2" s="144"/>
      <c r="CO2" s="144"/>
    </row>
    <row r="3" spans="1:112" s="145" customFormat="1" ht="11.4" customHeight="1" x14ac:dyDescent="0.25">
      <c r="A3" s="121"/>
      <c r="B3" s="178">
        <v>1</v>
      </c>
      <c r="C3" s="178">
        <v>2</v>
      </c>
      <c r="D3" s="178">
        <v>3</v>
      </c>
      <c r="E3" s="178">
        <v>5</v>
      </c>
      <c r="F3" s="178">
        <v>6</v>
      </c>
      <c r="G3" s="178">
        <v>7</v>
      </c>
      <c r="H3" s="178">
        <v>8</v>
      </c>
      <c r="I3" s="178">
        <v>9</v>
      </c>
      <c r="J3" s="178">
        <v>10</v>
      </c>
      <c r="K3" s="178">
        <v>11</v>
      </c>
      <c r="L3" s="178">
        <v>12</v>
      </c>
      <c r="M3" s="178">
        <v>13</v>
      </c>
      <c r="N3" s="178">
        <v>14</v>
      </c>
      <c r="O3" s="178">
        <v>15</v>
      </c>
      <c r="P3" s="178">
        <v>16</v>
      </c>
      <c r="Q3" s="178">
        <v>17</v>
      </c>
      <c r="R3" s="178">
        <v>18</v>
      </c>
      <c r="S3" s="178">
        <v>19</v>
      </c>
      <c r="T3" s="178">
        <v>20</v>
      </c>
      <c r="U3" s="178">
        <v>21</v>
      </c>
      <c r="V3" s="178">
        <v>22</v>
      </c>
      <c r="W3" s="178">
        <v>23</v>
      </c>
      <c r="X3" s="178">
        <v>24</v>
      </c>
      <c r="Y3" s="178">
        <v>25</v>
      </c>
      <c r="Z3" s="178">
        <v>26</v>
      </c>
      <c r="AA3" s="178">
        <v>27</v>
      </c>
      <c r="AB3" s="178">
        <v>28</v>
      </c>
      <c r="AC3" s="178">
        <v>29</v>
      </c>
      <c r="AD3" s="178">
        <v>30</v>
      </c>
      <c r="AE3" s="178">
        <v>31</v>
      </c>
      <c r="AF3" s="178">
        <v>32</v>
      </c>
      <c r="AG3" s="178">
        <v>33</v>
      </c>
      <c r="AH3" s="178">
        <v>34</v>
      </c>
      <c r="AI3" s="178">
        <v>35</v>
      </c>
      <c r="AJ3" s="178">
        <v>36</v>
      </c>
      <c r="AK3" s="178">
        <v>37</v>
      </c>
      <c r="AL3" s="178">
        <v>38</v>
      </c>
      <c r="AM3" s="178">
        <v>39</v>
      </c>
      <c r="AN3" s="178">
        <v>40</v>
      </c>
      <c r="AO3" s="178">
        <v>41</v>
      </c>
      <c r="AP3" s="178">
        <v>42</v>
      </c>
      <c r="AQ3" s="178">
        <v>43</v>
      </c>
      <c r="AR3" s="178">
        <v>44</v>
      </c>
      <c r="AS3" s="178">
        <v>45</v>
      </c>
      <c r="AT3" s="178">
        <v>46</v>
      </c>
      <c r="AU3" s="178">
        <v>47</v>
      </c>
      <c r="AV3" s="178">
        <v>48</v>
      </c>
      <c r="AW3" s="178">
        <v>49</v>
      </c>
      <c r="AX3" s="178">
        <v>50</v>
      </c>
      <c r="AY3" s="178">
        <v>51</v>
      </c>
      <c r="AZ3" s="178">
        <v>52</v>
      </c>
      <c r="BA3" s="178">
        <v>53</v>
      </c>
      <c r="BB3" s="178">
        <v>54</v>
      </c>
      <c r="BC3" s="178">
        <v>55</v>
      </c>
      <c r="BD3" s="178">
        <v>56</v>
      </c>
      <c r="BE3" s="178">
        <v>57</v>
      </c>
      <c r="BF3" s="178">
        <v>58</v>
      </c>
      <c r="BG3" s="178">
        <v>59</v>
      </c>
      <c r="BH3" s="178">
        <v>60</v>
      </c>
      <c r="BI3" s="178">
        <v>61</v>
      </c>
      <c r="BJ3" s="178">
        <v>62</v>
      </c>
      <c r="BK3" s="178">
        <v>63</v>
      </c>
      <c r="BL3" s="178">
        <v>64</v>
      </c>
      <c r="BM3" s="178">
        <v>65</v>
      </c>
      <c r="BN3" s="178">
        <v>66</v>
      </c>
      <c r="BO3" s="178">
        <v>67</v>
      </c>
      <c r="BP3" s="178">
        <v>68</v>
      </c>
      <c r="BQ3" s="178">
        <v>69</v>
      </c>
      <c r="BR3" s="178">
        <v>70</v>
      </c>
      <c r="BS3" s="178">
        <v>71</v>
      </c>
      <c r="BT3" s="178"/>
      <c r="BU3" s="178"/>
      <c r="BV3" s="178"/>
      <c r="BW3" s="178">
        <v>72</v>
      </c>
      <c r="BX3" s="178">
        <v>73</v>
      </c>
      <c r="BY3" s="178">
        <v>74</v>
      </c>
      <c r="BZ3" s="178">
        <v>75</v>
      </c>
      <c r="CA3" s="178">
        <v>76</v>
      </c>
      <c r="CB3" s="178">
        <v>77</v>
      </c>
      <c r="CC3" s="178">
        <v>78</v>
      </c>
      <c r="CD3" s="178">
        <v>79</v>
      </c>
      <c r="CE3" s="178">
        <v>80</v>
      </c>
    </row>
    <row r="4" spans="1:112" s="143" customFormat="1" ht="18" customHeight="1" x14ac:dyDescent="0.25">
      <c r="A4" s="203" t="str">
        <f>IF($I$1="ENG","#","№ з/п")</f>
        <v>№ з/п</v>
      </c>
      <c r="B4" s="203" t="str">
        <f>IF($I$1="ENG","NKB","НКБ")</f>
        <v>НКБ</v>
      </c>
      <c r="C4" s="203" t="str">
        <f>IF($I$1="ENG","Name","Найменування банку")</f>
        <v>Найменування банку</v>
      </c>
      <c r="D4" s="203" t="str">
        <f>IF($I$1="ENG","Group of banks","Група")</f>
        <v>Група</v>
      </c>
      <c r="E4" s="214" t="str">
        <f>IF($I$1="ENG","Bank's data ","Дані банку")</f>
        <v>Дані банку</v>
      </c>
      <c r="F4" s="214"/>
      <c r="G4" s="214"/>
      <c r="H4" s="214"/>
      <c r="I4" s="214"/>
      <c r="J4" s="214"/>
      <c r="K4" s="214"/>
      <c r="L4" s="214" t="str">
        <f>IF($I$1="ENG","Adjusted bank's data ","Скориговані дані банку")</f>
        <v>Скориговані дані банку</v>
      </c>
      <c r="M4" s="214"/>
      <c r="N4" s="214"/>
      <c r="O4" s="214"/>
      <c r="P4" s="214"/>
      <c r="Q4" s="214"/>
      <c r="R4" s="214"/>
      <c r="S4" s="205" t="str">
        <f>IF($I$1="ENG","Asset quality review","Дані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екстраполяції")</f>
        <v>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</v>
      </c>
      <c r="T4" s="206"/>
      <c r="U4" s="206"/>
      <c r="V4" s="206"/>
      <c r="W4" s="206"/>
      <c r="X4" s="206"/>
      <c r="Y4" s="206"/>
      <c r="Z4" s="207"/>
      <c r="AA4" s="214" t="str">
        <f>IF($I$1="ENG","Baseline scenario","За базовим макроекономічним сценарієм")</f>
        <v>За базовим макроекономічним сценарієм</v>
      </c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 t="str">
        <f>IF($I$1="ENG","Adverse scenario","За несприятливим макроекономічним сценарієм")</f>
        <v>За несприятливим макроекономічним сценарієм</v>
      </c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2" t="str">
        <f>IF($I$1="ENG","Required capital adequacy, baseline scenario","Необхідний рівень нормативів за базовим сценарієм")</f>
        <v>Необхідний рівень нормативів за базовим сценарієм</v>
      </c>
      <c r="BR4" s="217"/>
      <c r="BS4" s="217"/>
      <c r="BT4" s="217"/>
      <c r="BU4" s="217"/>
      <c r="BV4" s="217"/>
      <c r="BW4" s="212" t="str">
        <f>IF($I$1="ENG","Required capital ratios, adverse scenario","Необхідний рівень нормативів за несприятливим сценарієм")</f>
        <v>Необхідний рівень нормативів за несприятливим сценарієм</v>
      </c>
      <c r="BX4" s="217"/>
      <c r="BY4" s="217"/>
      <c r="BZ4" s="217"/>
      <c r="CA4" s="217"/>
      <c r="CB4" s="217"/>
      <c r="CC4" s="212" t="str">
        <f>IF($I$1="ENG","Memo: capital ratios as of 1 Dec 2025","Довідково: нормативи достатності капіталу на 01.12.2025 р.")</f>
        <v>Довідково: нормативи достатності капіталу на 01.12.2025 р.</v>
      </c>
      <c r="CD4" s="212"/>
      <c r="CE4" s="212"/>
      <c r="CF4" s="215"/>
      <c r="CG4" s="216"/>
      <c r="CH4" s="216"/>
      <c r="CI4" s="215"/>
      <c r="CJ4" s="216"/>
      <c r="CK4" s="216"/>
      <c r="CL4" s="146"/>
      <c r="CM4" s="147"/>
      <c r="CN4" s="147"/>
      <c r="CO4" s="147"/>
    </row>
    <row r="5" spans="1:112" s="143" customFormat="1" ht="21.45" customHeight="1" x14ac:dyDescent="0.25">
      <c r="A5" s="204"/>
      <c r="B5" s="204"/>
      <c r="C5" s="204"/>
      <c r="D5" s="20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08"/>
      <c r="T5" s="209"/>
      <c r="U5" s="209"/>
      <c r="V5" s="209"/>
      <c r="W5" s="209"/>
      <c r="X5" s="209"/>
      <c r="Y5" s="209"/>
      <c r="Z5" s="210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7"/>
      <c r="BR5" s="217"/>
      <c r="BS5" s="217"/>
      <c r="BT5" s="217"/>
      <c r="BU5" s="217"/>
      <c r="BV5" s="217"/>
      <c r="BW5" s="217"/>
      <c r="BX5" s="217"/>
      <c r="BY5" s="217"/>
      <c r="BZ5" s="217"/>
      <c r="CA5" s="217"/>
      <c r="CB5" s="217"/>
      <c r="CC5" s="212"/>
      <c r="CD5" s="212"/>
      <c r="CE5" s="212"/>
      <c r="CF5" s="216"/>
      <c r="CG5" s="216"/>
      <c r="CH5" s="216"/>
      <c r="CI5" s="216"/>
      <c r="CJ5" s="216"/>
      <c r="CK5" s="216"/>
      <c r="CL5" s="146"/>
      <c r="CM5" s="147"/>
      <c r="CN5" s="147"/>
      <c r="CO5" s="147"/>
    </row>
    <row r="6" spans="1:112" s="143" customFormat="1" ht="61.2" customHeight="1" x14ac:dyDescent="0.25">
      <c r="A6" s="204"/>
      <c r="B6" s="204"/>
      <c r="C6" s="204"/>
      <c r="D6" s="204"/>
      <c r="E6" s="148" t="str">
        <f>tech!U4</f>
        <v>ОК1, млн грн</v>
      </c>
      <c r="F6" s="148" t="str">
        <f>tech!U5</f>
        <v>К1, млн грн</v>
      </c>
      <c r="G6" s="148" t="str">
        <f>tech!U6</f>
        <v>РК, млн грн</v>
      </c>
      <c r="H6" s="148" t="str">
        <f>tech!U7</f>
        <v>НРК</v>
      </c>
      <c r="I6" s="148" t="str">
        <f>tech!U8</f>
        <v>НК1</v>
      </c>
      <c r="J6" s="148" t="str">
        <f>tech!U9</f>
        <v>НОК1</v>
      </c>
      <c r="K6" s="148" t="str">
        <f>IF($I$1="ENG","Estimated denominator of the requirement, UAH mln","Розрахунковий знаменник нормативу, млн грн")</f>
        <v>Розрахунковий знаменник нормативу, млн грн</v>
      </c>
      <c r="L6" s="148" t="str">
        <f>E6</f>
        <v>ОК1, млн грн</v>
      </c>
      <c r="M6" s="148" t="str">
        <f t="shared" ref="M6:R6" si="0">F6</f>
        <v>К1, млн грн</v>
      </c>
      <c r="N6" s="148" t="str">
        <f t="shared" si="0"/>
        <v>РК, млн грн</v>
      </c>
      <c r="O6" s="148" t="str">
        <f t="shared" si="0"/>
        <v>НРК</v>
      </c>
      <c r="P6" s="148" t="str">
        <f t="shared" si="0"/>
        <v>НК1</v>
      </c>
      <c r="Q6" s="148" t="str">
        <f t="shared" si="0"/>
        <v>НОК1</v>
      </c>
      <c r="R6" s="148" t="str">
        <f t="shared" si="0"/>
        <v>Розрахунковий знаменник нормативу, млн грн</v>
      </c>
      <c r="S6" s="148" t="str">
        <f>IF($I$1="ENG","Extrapolation","Екстраполяція")</f>
        <v>Екстраполяція</v>
      </c>
      <c r="T6" s="148" t="str">
        <f>L6</f>
        <v>ОК1, млн грн</v>
      </c>
      <c r="U6" s="148" t="str">
        <f t="shared" ref="U6:Z6" si="1">M6</f>
        <v>К1, млн грн</v>
      </c>
      <c r="V6" s="148" t="str">
        <f t="shared" si="1"/>
        <v>РК, млн грн</v>
      </c>
      <c r="W6" s="148" t="str">
        <f t="shared" si="1"/>
        <v>НРК</v>
      </c>
      <c r="X6" s="148" t="str">
        <f t="shared" si="1"/>
        <v>НК1</v>
      </c>
      <c r="Y6" s="148" t="str">
        <f t="shared" si="1"/>
        <v>НОК1</v>
      </c>
      <c r="Z6" s="148" t="str">
        <f t="shared" si="1"/>
        <v>Розрахунковий знаменник нормативу, млн грн</v>
      </c>
      <c r="AA6" s="212" t="str">
        <f>T6</f>
        <v>ОК1, млн грн</v>
      </c>
      <c r="AB6" s="212"/>
      <c r="AC6" s="212"/>
      <c r="AD6" s="212" t="str">
        <f>U6</f>
        <v>К1, млн грн</v>
      </c>
      <c r="AE6" s="212"/>
      <c r="AF6" s="212"/>
      <c r="AG6" s="212" t="str">
        <f>V6</f>
        <v>РК, млн грн</v>
      </c>
      <c r="AH6" s="212"/>
      <c r="AI6" s="212"/>
      <c r="AJ6" s="212" t="str">
        <f>W6</f>
        <v>НРК</v>
      </c>
      <c r="AK6" s="212"/>
      <c r="AL6" s="212"/>
      <c r="AM6" s="212" t="str">
        <f>X6</f>
        <v>НК1</v>
      </c>
      <c r="AN6" s="212"/>
      <c r="AO6" s="212"/>
      <c r="AP6" s="212" t="str">
        <f>Y6</f>
        <v>НОК1</v>
      </c>
      <c r="AQ6" s="212"/>
      <c r="AR6" s="212"/>
      <c r="AS6" s="212" t="str">
        <f>Z6</f>
        <v>Розрахунковий знаменник нормативу, млн грн</v>
      </c>
      <c r="AT6" s="212"/>
      <c r="AU6" s="212"/>
      <c r="AV6" s="212" t="str">
        <f>AA6</f>
        <v>ОК1, млн грн</v>
      </c>
      <c r="AW6" s="212"/>
      <c r="AX6" s="212"/>
      <c r="AY6" s="212" t="str">
        <f>AD6</f>
        <v>К1, млн грн</v>
      </c>
      <c r="AZ6" s="212"/>
      <c r="BA6" s="212"/>
      <c r="BB6" s="212" t="str">
        <f>AG6</f>
        <v>РК, млн грн</v>
      </c>
      <c r="BC6" s="212"/>
      <c r="BD6" s="212"/>
      <c r="BE6" s="212" t="str">
        <f>AJ6</f>
        <v>НРК</v>
      </c>
      <c r="BF6" s="212"/>
      <c r="BG6" s="212"/>
      <c r="BH6" s="212" t="str">
        <f>AM6</f>
        <v>НК1</v>
      </c>
      <c r="BI6" s="212"/>
      <c r="BJ6" s="212"/>
      <c r="BK6" s="212" t="str">
        <f>AP6</f>
        <v>НОК1</v>
      </c>
      <c r="BL6" s="212"/>
      <c r="BM6" s="212"/>
      <c r="BN6" s="212" t="str">
        <f>AS6</f>
        <v>Розрахунковий знаменник нормативу, млн грн</v>
      </c>
      <c r="BO6" s="212"/>
      <c r="BP6" s="212"/>
      <c r="BQ6" s="212" t="str">
        <f>IF($I$1="ENG","resilience assessment results, %","за результатами оцінки стійкості, %")</f>
        <v>за результатами оцінки стійкості, %</v>
      </c>
      <c r="BR6" s="212"/>
      <c r="BS6" s="212"/>
      <c r="BT6" s="212" t="str">
        <f>IF($I$1="ENG","after measures taken and planned by banks*, %","з урахуванням здійснених та запланованих банком заходів, %")</f>
        <v>з урахуванням здійснених та запланованих банком заходів, %</v>
      </c>
      <c r="BU6" s="212"/>
      <c r="BV6" s="212"/>
      <c r="BW6" s="212" t="str">
        <f>IF($I$1="ENG","resilience assessment results, %","за результатами оцінки стійкості, %")</f>
        <v>за результатами оцінки стійкості, %</v>
      </c>
      <c r="BX6" s="212"/>
      <c r="BY6" s="212"/>
      <c r="BZ6" s="212" t="str">
        <f>IF($I$1="ENG","after measures taken and planned by banks*, %","з урахуванням здійснених та запланованих банком заходів, %")</f>
        <v>з урахуванням здійснених та запланованих банком заходів, %</v>
      </c>
      <c r="CA6" s="212"/>
      <c r="CB6" s="212"/>
      <c r="CC6" s="218" t="str">
        <f>BQ7</f>
        <v>НРК</v>
      </c>
      <c r="CD6" s="218" t="str">
        <f>BR7</f>
        <v>НК1</v>
      </c>
      <c r="CE6" s="218" t="str">
        <f>BS7</f>
        <v>НОК1</v>
      </c>
      <c r="CF6" s="149"/>
      <c r="CG6" s="149"/>
      <c r="CH6" s="149"/>
      <c r="CI6" s="149"/>
      <c r="CJ6" s="149"/>
      <c r="CK6" s="149"/>
      <c r="CL6" s="144"/>
      <c r="CM6" s="149"/>
      <c r="CN6" s="149"/>
      <c r="CO6" s="149"/>
    </row>
    <row r="7" spans="1:112" s="143" customFormat="1" ht="12" customHeight="1" x14ac:dyDescent="0.25">
      <c r="A7" s="204"/>
      <c r="B7" s="204"/>
      <c r="C7" s="204"/>
      <c r="D7" s="204"/>
      <c r="E7" s="213" t="str">
        <f>IF($I$1="ENG","reporting date 1 Jan 2025","звітний рік (на 01.01.2025)")</f>
        <v>звітний рік (на 01.01.2025)</v>
      </c>
      <c r="F7" s="212"/>
      <c r="G7" s="212"/>
      <c r="H7" s="212"/>
      <c r="I7" s="212"/>
      <c r="J7" s="212"/>
      <c r="K7" s="212" t="str">
        <f>IF($I$1="ENG","reporting date 1 Jan 2025","звітний рік (на 01.01.2025)")</f>
        <v>звітний рік (на 01.01.2025)</v>
      </c>
      <c r="L7" s="213" t="str">
        <f>IF($I$1="ENG","reporting date 1 Jan 2025","звітний рік (на 01.01.2025)")</f>
        <v>звітний рік (на 01.01.2025)</v>
      </c>
      <c r="M7" s="212"/>
      <c r="N7" s="212"/>
      <c r="O7" s="212"/>
      <c r="P7" s="212"/>
      <c r="Q7" s="212"/>
      <c r="R7" s="212" t="str">
        <f>IF($I$1="ENG","reporting date 1 Jan 2025","звітний рік (на 01.01.2025)")</f>
        <v>звітний рік (на 01.01.2025)</v>
      </c>
      <c r="S7" s="211" t="str">
        <f>IF($I$1="ENG","reporting date 1 Jan 2025","звітний рік (на 01.01.2025)")</f>
        <v>звітний рік (на 01.01.2025)</v>
      </c>
      <c r="T7" s="206"/>
      <c r="U7" s="206"/>
      <c r="V7" s="206"/>
      <c r="W7" s="206"/>
      <c r="X7" s="206"/>
      <c r="Y7" s="207"/>
      <c r="Z7" s="212" t="str">
        <f>IF($I$1="ENG","reporting date 1 Jan 2025","звітний рік (на 01.01.2025)")</f>
        <v>звітний рік (на 01.01.2025)</v>
      </c>
      <c r="AA7" s="150" t="str">
        <f>IF($I$1="ENG","1st","1-й")</f>
        <v>1-й</v>
      </c>
      <c r="AB7" s="150" t="str">
        <f>IF($I$1="ENG","2nd","2-й")</f>
        <v>2-й</v>
      </c>
      <c r="AC7" s="150" t="str">
        <f>IF($I$1="ENG","3rd","3-й")</f>
        <v>3-й</v>
      </c>
      <c r="AD7" s="150" t="str">
        <f>IF($I$1="ENG","1st","1-й")</f>
        <v>1-й</v>
      </c>
      <c r="AE7" s="150" t="str">
        <f>IF($I$1="ENG","2nd","2-й")</f>
        <v>2-й</v>
      </c>
      <c r="AF7" s="150" t="str">
        <f>IF($I$1="ENG","3rd","3-й")</f>
        <v>3-й</v>
      </c>
      <c r="AG7" s="150" t="str">
        <f>IF($I$1="ENG","1st","1-й")</f>
        <v>1-й</v>
      </c>
      <c r="AH7" s="150" t="str">
        <f>IF($I$1="ENG","2nd","2-й")</f>
        <v>2-й</v>
      </c>
      <c r="AI7" s="150" t="str">
        <f>IF($I$1="ENG","3rd","3-й")</f>
        <v>3-й</v>
      </c>
      <c r="AJ7" s="150" t="str">
        <f>IF($I$1="ENG","1st","1-й")</f>
        <v>1-й</v>
      </c>
      <c r="AK7" s="150" t="str">
        <f>IF($I$1="ENG","2nd","2-й")</f>
        <v>2-й</v>
      </c>
      <c r="AL7" s="150" t="str">
        <f>IF($I$1="ENG","3rd","3-й")</f>
        <v>3-й</v>
      </c>
      <c r="AM7" s="150" t="str">
        <f>IF($I$1="ENG","1st","1-й")</f>
        <v>1-й</v>
      </c>
      <c r="AN7" s="150" t="str">
        <f>IF($I$1="ENG","2nd","2-й")</f>
        <v>2-й</v>
      </c>
      <c r="AO7" s="150" t="str">
        <f>IF($I$1="ENG","3rd","3-й")</f>
        <v>3-й</v>
      </c>
      <c r="AP7" s="150" t="str">
        <f>IF($I$1="ENG","1st","1-й")</f>
        <v>1-й</v>
      </c>
      <c r="AQ7" s="150" t="str">
        <f>IF($I$1="ENG","2nd","2-й")</f>
        <v>2-й</v>
      </c>
      <c r="AR7" s="150" t="str">
        <f>IF($I$1="ENG","3rd","3-й")</f>
        <v>3-й</v>
      </c>
      <c r="AS7" s="150" t="str">
        <f>IF($I$1="ENG","1st","1-й")</f>
        <v>1-й</v>
      </c>
      <c r="AT7" s="150" t="str">
        <f>IF($I$1="ENG","2nd","2-й")</f>
        <v>2-й</v>
      </c>
      <c r="AU7" s="150" t="str">
        <f>IF($I$1="ENG","3rd","3-й")</f>
        <v>3-й</v>
      </c>
      <c r="AV7" s="150" t="str">
        <f>IF($I$1="ENG","1st","1-й")</f>
        <v>1-й</v>
      </c>
      <c r="AW7" s="150" t="str">
        <f>IF($I$1="ENG","2nd","2-й")</f>
        <v>2-й</v>
      </c>
      <c r="AX7" s="150" t="str">
        <f>IF($I$1="ENG","3rd","3-й")</f>
        <v>3-й</v>
      </c>
      <c r="AY7" s="150" t="str">
        <f>IF($I$1="ENG","1st","1-й")</f>
        <v>1-й</v>
      </c>
      <c r="AZ7" s="150" t="str">
        <f>IF($I$1="ENG","2nd","2-й")</f>
        <v>2-й</v>
      </c>
      <c r="BA7" s="150" t="str">
        <f>IF($I$1="ENG","3rd","3-й")</f>
        <v>3-й</v>
      </c>
      <c r="BB7" s="150" t="str">
        <f>IF($I$1="ENG","1st","1-й")</f>
        <v>1-й</v>
      </c>
      <c r="BC7" s="150" t="str">
        <f>IF($I$1="ENG","2nd","2-й")</f>
        <v>2-й</v>
      </c>
      <c r="BD7" s="150" t="str">
        <f>IF($I$1="ENG","3rd","3-й")</f>
        <v>3-й</v>
      </c>
      <c r="BE7" s="150" t="str">
        <f>IF($I$1="ENG","1st","1-й")</f>
        <v>1-й</v>
      </c>
      <c r="BF7" s="150" t="str">
        <f>IF($I$1="ENG","2nd","2-й")</f>
        <v>2-й</v>
      </c>
      <c r="BG7" s="150" t="str">
        <f>IF($I$1="ENG","3rd","3-й")</f>
        <v>3-й</v>
      </c>
      <c r="BH7" s="150" t="str">
        <f>IF($I$1="ENG","1st","1-й")</f>
        <v>1-й</v>
      </c>
      <c r="BI7" s="150" t="str">
        <f>IF($I$1="ENG","2nd","2-й")</f>
        <v>2-й</v>
      </c>
      <c r="BJ7" s="150" t="str">
        <f>IF($I$1="ENG","3rd","3-й")</f>
        <v>3-й</v>
      </c>
      <c r="BK7" s="150" t="str">
        <f>IF($I$1="ENG","1st","1-й")</f>
        <v>1-й</v>
      </c>
      <c r="BL7" s="150" t="str">
        <f>IF($I$1="ENG","2nd","2-й")</f>
        <v>2-й</v>
      </c>
      <c r="BM7" s="150" t="str">
        <f>IF($I$1="ENG","3rd","3-й")</f>
        <v>3-й</v>
      </c>
      <c r="BN7" s="150" t="str">
        <f>IF($I$1="ENG","1st","1-й")</f>
        <v>1-й</v>
      </c>
      <c r="BO7" s="150" t="str">
        <f>IF($I$1="ENG","2nd","2-й")</f>
        <v>2-й</v>
      </c>
      <c r="BP7" s="150" t="str">
        <f>IF($I$1="ENG","3rd","3-й")</f>
        <v>3-й</v>
      </c>
      <c r="BQ7" s="218" t="str">
        <f>BE6</f>
        <v>НРК</v>
      </c>
      <c r="BR7" s="218" t="str">
        <f>BH6</f>
        <v>НК1</v>
      </c>
      <c r="BS7" s="218" t="str">
        <f>BK6</f>
        <v>НОК1</v>
      </c>
      <c r="BT7" s="212" t="str">
        <f>BQ7</f>
        <v>НРК</v>
      </c>
      <c r="BU7" s="212" t="str">
        <f>BR7</f>
        <v>НК1</v>
      </c>
      <c r="BV7" s="212" t="str">
        <f>BS7</f>
        <v>НОК1</v>
      </c>
      <c r="BW7" s="212" t="str">
        <f>BQ7</f>
        <v>НРК</v>
      </c>
      <c r="BX7" s="212" t="str">
        <f>BR7</f>
        <v>НК1</v>
      </c>
      <c r="BY7" s="212" t="str">
        <f>BS7</f>
        <v>НОК1</v>
      </c>
      <c r="BZ7" s="212" t="str">
        <f>BW7</f>
        <v>НРК</v>
      </c>
      <c r="CA7" s="212" t="str">
        <f t="shared" ref="CA7" si="2">BX7</f>
        <v>НК1</v>
      </c>
      <c r="CB7" s="212" t="str">
        <f>BY7</f>
        <v>НОК1</v>
      </c>
      <c r="CC7" s="220"/>
      <c r="CD7" s="220"/>
      <c r="CE7" s="220"/>
      <c r="CF7" s="144"/>
      <c r="CG7" s="144"/>
      <c r="CH7" s="144"/>
      <c r="CI7" s="144"/>
      <c r="CJ7" s="144"/>
      <c r="CK7" s="144"/>
      <c r="CL7" s="144"/>
      <c r="CM7" s="144"/>
      <c r="CN7" s="144"/>
      <c r="CO7" s="144"/>
    </row>
    <row r="8" spans="1:112" s="143" customFormat="1" ht="39" customHeight="1" x14ac:dyDescent="0.25">
      <c r="A8" s="204"/>
      <c r="B8" s="204"/>
      <c r="C8" s="204"/>
      <c r="D8" s="204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08"/>
      <c r="T8" s="209"/>
      <c r="U8" s="209"/>
      <c r="V8" s="209"/>
      <c r="W8" s="209"/>
      <c r="X8" s="209"/>
      <c r="Y8" s="210"/>
      <c r="Z8" s="212"/>
      <c r="AA8" s="213" t="str">
        <f>IF($I$1="ENG","forecast year","прогнозний рік")</f>
        <v>прогнозний рік</v>
      </c>
      <c r="AB8" s="213"/>
      <c r="AC8" s="213"/>
      <c r="AD8" s="213" t="str">
        <f>IF($I$1="ENG","forecast year","прогнозний рік")</f>
        <v>прогнозний рік</v>
      </c>
      <c r="AE8" s="213"/>
      <c r="AF8" s="213"/>
      <c r="AG8" s="213" t="str">
        <f>IF($I$1="ENG","forecast year","прогнозний рік")</f>
        <v>прогнозний рік</v>
      </c>
      <c r="AH8" s="213"/>
      <c r="AI8" s="213"/>
      <c r="AJ8" s="213" t="str">
        <f>IF($I$1="ENG","forecast year","прогнозний рік")</f>
        <v>прогнозний рік</v>
      </c>
      <c r="AK8" s="213"/>
      <c r="AL8" s="213"/>
      <c r="AM8" s="213" t="str">
        <f>IF($I$1="ENG","forecast year","прогнозний рік")</f>
        <v>прогнозний рік</v>
      </c>
      <c r="AN8" s="213"/>
      <c r="AO8" s="213"/>
      <c r="AP8" s="213" t="str">
        <f>IF($I$1="ENG","forecast year","прогнозний рік")</f>
        <v>прогнозний рік</v>
      </c>
      <c r="AQ8" s="213"/>
      <c r="AR8" s="213"/>
      <c r="AS8" s="213" t="str">
        <f>IF($I$1="ENG","forecast year","прогнозний рік")</f>
        <v>прогнозний рік</v>
      </c>
      <c r="AT8" s="213"/>
      <c r="AU8" s="213"/>
      <c r="AV8" s="213" t="str">
        <f>IF($I$1="ENG","forecast year","прогнозний рік")</f>
        <v>прогнозний рік</v>
      </c>
      <c r="AW8" s="213"/>
      <c r="AX8" s="213"/>
      <c r="AY8" s="213" t="str">
        <f>IF($I$1="ENG","forecast year","прогнозний рік")</f>
        <v>прогнозний рік</v>
      </c>
      <c r="AZ8" s="213"/>
      <c r="BA8" s="213"/>
      <c r="BB8" s="213" t="str">
        <f>IF($I$1="ENG","forecast year","прогнозний рік")</f>
        <v>прогнозний рік</v>
      </c>
      <c r="BC8" s="213"/>
      <c r="BD8" s="213"/>
      <c r="BE8" s="213" t="str">
        <f>IF($I$1="ENG","forecast year","прогнозний рік")</f>
        <v>прогнозний рік</v>
      </c>
      <c r="BF8" s="213"/>
      <c r="BG8" s="213"/>
      <c r="BH8" s="213" t="str">
        <f>IF($I$1="ENG","forecast year","прогнозний рік")</f>
        <v>прогнозний рік</v>
      </c>
      <c r="BI8" s="213"/>
      <c r="BJ8" s="213"/>
      <c r="BK8" s="213" t="str">
        <f>IF($I$1="ENG","forecast year","прогнозний рік")</f>
        <v>прогнозний рік</v>
      </c>
      <c r="BL8" s="213"/>
      <c r="BM8" s="213"/>
      <c r="BN8" s="213" t="str">
        <f>IF($I$1="ENG","forecast year","прогнозний рік")</f>
        <v>прогнозний рік</v>
      </c>
      <c r="BO8" s="213"/>
      <c r="BP8" s="213"/>
      <c r="BQ8" s="219"/>
      <c r="BR8" s="219"/>
      <c r="BS8" s="219"/>
      <c r="BT8" s="217"/>
      <c r="BU8" s="217"/>
      <c r="BV8" s="217"/>
      <c r="BW8" s="217"/>
      <c r="BX8" s="217"/>
      <c r="BY8" s="217"/>
      <c r="BZ8" s="217"/>
      <c r="CA8" s="217"/>
      <c r="CB8" s="217"/>
      <c r="CC8" s="219"/>
      <c r="CD8" s="219"/>
      <c r="CE8" s="219"/>
      <c r="CF8" s="144"/>
      <c r="CG8" s="144"/>
      <c r="CH8" s="144"/>
      <c r="CI8" s="144"/>
      <c r="CJ8" s="144"/>
      <c r="CK8" s="144"/>
      <c r="CL8" s="144"/>
      <c r="CM8" s="144"/>
      <c r="CN8" s="144"/>
      <c r="CO8" s="144"/>
    </row>
    <row r="9" spans="1:112" s="167" customFormat="1" ht="12" customHeight="1" x14ac:dyDescent="0.3">
      <c r="A9" s="165">
        <v>1</v>
      </c>
      <c r="B9" s="165">
        <f>A9+1</f>
        <v>2</v>
      </c>
      <c r="C9" s="165">
        <f>B9+1</f>
        <v>3</v>
      </c>
      <c r="D9" s="165"/>
      <c r="E9" s="148">
        <v>4</v>
      </c>
      <c r="F9" s="148">
        <f>E9+1</f>
        <v>5</v>
      </c>
      <c r="G9" s="148">
        <f t="shared" ref="G9:J9" si="3">F9+1</f>
        <v>6</v>
      </c>
      <c r="H9" s="148">
        <f t="shared" si="3"/>
        <v>7</v>
      </c>
      <c r="I9" s="148">
        <f t="shared" si="3"/>
        <v>8</v>
      </c>
      <c r="J9" s="148">
        <f t="shared" si="3"/>
        <v>9</v>
      </c>
      <c r="K9" s="148"/>
      <c r="L9" s="148">
        <f>J9+1</f>
        <v>10</v>
      </c>
      <c r="M9" s="148">
        <f>L9+1</f>
        <v>11</v>
      </c>
      <c r="N9" s="148">
        <f t="shared" ref="N9:Q9" si="4">M9+1</f>
        <v>12</v>
      </c>
      <c r="O9" s="148">
        <f t="shared" si="4"/>
        <v>13</v>
      </c>
      <c r="P9" s="148">
        <f t="shared" si="4"/>
        <v>14</v>
      </c>
      <c r="Q9" s="148">
        <f t="shared" si="4"/>
        <v>15</v>
      </c>
      <c r="R9" s="148"/>
      <c r="S9" s="148">
        <f>Q9+1</f>
        <v>16</v>
      </c>
      <c r="T9" s="148">
        <f>S9+1</f>
        <v>17</v>
      </c>
      <c r="U9" s="148">
        <f t="shared" ref="U9:Y9" si="5">T9+1</f>
        <v>18</v>
      </c>
      <c r="V9" s="148">
        <f t="shared" si="5"/>
        <v>19</v>
      </c>
      <c r="W9" s="148">
        <f t="shared" si="5"/>
        <v>20</v>
      </c>
      <c r="X9" s="148">
        <f t="shared" si="5"/>
        <v>21</v>
      </c>
      <c r="Y9" s="148">
        <f t="shared" si="5"/>
        <v>22</v>
      </c>
      <c r="Z9" s="148"/>
      <c r="AA9" s="148">
        <f>Y9+1</f>
        <v>23</v>
      </c>
      <c r="AB9" s="148">
        <f>AA9+1</f>
        <v>24</v>
      </c>
      <c r="AC9" s="148">
        <f t="shared" ref="AC9:AR9" si="6">AB9+1</f>
        <v>25</v>
      </c>
      <c r="AD9" s="148">
        <f t="shared" si="6"/>
        <v>26</v>
      </c>
      <c r="AE9" s="148">
        <f t="shared" si="6"/>
        <v>27</v>
      </c>
      <c r="AF9" s="148">
        <f t="shared" si="6"/>
        <v>28</v>
      </c>
      <c r="AG9" s="148">
        <f t="shared" si="6"/>
        <v>29</v>
      </c>
      <c r="AH9" s="148">
        <f t="shared" si="6"/>
        <v>30</v>
      </c>
      <c r="AI9" s="148">
        <f t="shared" si="6"/>
        <v>31</v>
      </c>
      <c r="AJ9" s="148">
        <f t="shared" si="6"/>
        <v>32</v>
      </c>
      <c r="AK9" s="148">
        <f t="shared" si="6"/>
        <v>33</v>
      </c>
      <c r="AL9" s="148">
        <f t="shared" si="6"/>
        <v>34</v>
      </c>
      <c r="AM9" s="148">
        <f t="shared" si="6"/>
        <v>35</v>
      </c>
      <c r="AN9" s="148">
        <f t="shared" si="6"/>
        <v>36</v>
      </c>
      <c r="AO9" s="148">
        <f t="shared" si="6"/>
        <v>37</v>
      </c>
      <c r="AP9" s="148">
        <f t="shared" si="6"/>
        <v>38</v>
      </c>
      <c r="AQ9" s="148">
        <f t="shared" si="6"/>
        <v>39</v>
      </c>
      <c r="AR9" s="148">
        <f t="shared" si="6"/>
        <v>40</v>
      </c>
      <c r="AS9" s="148"/>
      <c r="AT9" s="11"/>
      <c r="AU9" s="11"/>
      <c r="AV9" s="11">
        <f>AR9+1</f>
        <v>41</v>
      </c>
      <c r="AW9" s="11">
        <f>AV9+1</f>
        <v>42</v>
      </c>
      <c r="AX9" s="11">
        <f t="shared" ref="AX9:BM9" si="7">AW9+1</f>
        <v>43</v>
      </c>
      <c r="AY9" s="11">
        <f t="shared" si="7"/>
        <v>44</v>
      </c>
      <c r="AZ9" s="11">
        <f t="shared" si="7"/>
        <v>45</v>
      </c>
      <c r="BA9" s="11">
        <f t="shared" si="7"/>
        <v>46</v>
      </c>
      <c r="BB9" s="11">
        <f t="shared" si="7"/>
        <v>47</v>
      </c>
      <c r="BC9" s="11">
        <f t="shared" si="7"/>
        <v>48</v>
      </c>
      <c r="BD9" s="11">
        <f t="shared" si="7"/>
        <v>49</v>
      </c>
      <c r="BE9" s="11">
        <f t="shared" si="7"/>
        <v>50</v>
      </c>
      <c r="BF9" s="11">
        <f t="shared" si="7"/>
        <v>51</v>
      </c>
      <c r="BG9" s="11">
        <f t="shared" si="7"/>
        <v>52</v>
      </c>
      <c r="BH9" s="11">
        <f t="shared" si="7"/>
        <v>53</v>
      </c>
      <c r="BI9" s="11">
        <f t="shared" si="7"/>
        <v>54</v>
      </c>
      <c r="BJ9" s="11">
        <f t="shared" si="7"/>
        <v>55</v>
      </c>
      <c r="BK9" s="11">
        <f t="shared" si="7"/>
        <v>56</v>
      </c>
      <c r="BL9" s="11">
        <f t="shared" si="7"/>
        <v>57</v>
      </c>
      <c r="BM9" s="11">
        <f t="shared" si="7"/>
        <v>58</v>
      </c>
      <c r="BN9" s="11"/>
      <c r="BO9" s="11"/>
      <c r="BP9" s="11"/>
      <c r="BQ9" s="11"/>
      <c r="BR9" s="11"/>
      <c r="BS9" s="11"/>
      <c r="BT9" s="11"/>
      <c r="BU9" s="11"/>
      <c r="BV9" s="11"/>
      <c r="BW9" s="11">
        <f>BM9+1</f>
        <v>59</v>
      </c>
      <c r="BX9" s="11">
        <f t="shared" ref="BX9:CB9" si="8">BW9+1</f>
        <v>60</v>
      </c>
      <c r="BY9" s="11">
        <f t="shared" si="8"/>
        <v>61</v>
      </c>
      <c r="BZ9" s="11">
        <f t="shared" si="8"/>
        <v>62</v>
      </c>
      <c r="CA9" s="11">
        <f t="shared" si="8"/>
        <v>63</v>
      </c>
      <c r="CB9" s="11">
        <f t="shared" si="8"/>
        <v>64</v>
      </c>
      <c r="CC9" s="11"/>
      <c r="CD9" s="11"/>
      <c r="CE9" s="11"/>
      <c r="CF9" s="166"/>
      <c r="CG9" s="166"/>
      <c r="CH9" s="166"/>
      <c r="CI9" s="166"/>
      <c r="CJ9" s="166"/>
      <c r="CK9" s="166"/>
      <c r="CL9" s="166"/>
      <c r="CM9" s="166"/>
      <c r="CN9" s="166"/>
      <c r="CO9" s="166"/>
    </row>
    <row r="10" spans="1:112" s="143" customFormat="1" ht="12" customHeight="1" x14ac:dyDescent="0.25">
      <c r="A10" s="164">
        <v>1</v>
      </c>
      <c r="B10" s="159">
        <v>46</v>
      </c>
      <c r="C10" s="159" t="str">
        <f>INDEX(tech!$I$4:$J$24,MATCH('Data table'!B10,tech!$B$4:$B$24,0),1)</f>
        <v>Приватбанк</v>
      </c>
      <c r="D10" s="159" t="str">
        <f>INDEX(tech!$I$4:$J$24,MATCH('Data table'!B10,tech!$B$4:$B$24,0),2)</f>
        <v>Банки з державною часткою</v>
      </c>
      <c r="E10" s="160">
        <v>59942</v>
      </c>
      <c r="F10" s="160">
        <v>59942</v>
      </c>
      <c r="G10" s="160">
        <v>59942</v>
      </c>
      <c r="H10" s="163">
        <v>0.14960000000000001</v>
      </c>
      <c r="I10" s="163">
        <v>0.14960000000000001</v>
      </c>
      <c r="J10" s="163">
        <v>0.14960000000000001</v>
      </c>
      <c r="K10" s="160">
        <v>400693</v>
      </c>
      <c r="L10" s="160">
        <v>60008</v>
      </c>
      <c r="M10" s="160">
        <v>60008</v>
      </c>
      <c r="N10" s="160">
        <v>60008</v>
      </c>
      <c r="O10" s="163">
        <v>0.15129999999999999</v>
      </c>
      <c r="P10" s="163">
        <v>0.15129999999999999</v>
      </c>
      <c r="Q10" s="163">
        <v>0.15129999999999999</v>
      </c>
      <c r="R10" s="160">
        <v>396625</v>
      </c>
      <c r="S10" s="169" t="str">
        <f t="shared" ref="S10:S30" si="9">IF($I$1="ENG","no","ні")</f>
        <v>ні</v>
      </c>
      <c r="T10" s="160">
        <v>60008</v>
      </c>
      <c r="U10" s="160">
        <v>60008</v>
      </c>
      <c r="V10" s="160">
        <v>60008</v>
      </c>
      <c r="W10" s="163">
        <v>0.15129999999999999</v>
      </c>
      <c r="X10" s="163">
        <v>0.15129999999999999</v>
      </c>
      <c r="Y10" s="163">
        <v>0.15129999999999999</v>
      </c>
      <c r="Z10" s="160">
        <v>396625</v>
      </c>
      <c r="AA10" s="160">
        <v>117636</v>
      </c>
      <c r="AB10" s="160">
        <v>166385</v>
      </c>
      <c r="AC10" s="160">
        <v>208316</v>
      </c>
      <c r="AD10" s="160">
        <v>117636</v>
      </c>
      <c r="AE10" s="160">
        <v>166385</v>
      </c>
      <c r="AF10" s="160">
        <v>208316</v>
      </c>
      <c r="AG10" s="160">
        <v>117636</v>
      </c>
      <c r="AH10" s="160">
        <v>166385</v>
      </c>
      <c r="AI10" s="160">
        <v>208316</v>
      </c>
      <c r="AJ10" s="163">
        <v>0.27489999999999998</v>
      </c>
      <c r="AK10" s="163">
        <v>0.36859999999999998</v>
      </c>
      <c r="AL10" s="163">
        <v>0.46450000000000002</v>
      </c>
      <c r="AM10" s="163">
        <v>0.27489999999999998</v>
      </c>
      <c r="AN10" s="163">
        <v>0.36859999999999998</v>
      </c>
      <c r="AO10" s="163">
        <v>0.46450000000000002</v>
      </c>
      <c r="AP10" s="163">
        <v>0.27489999999999998</v>
      </c>
      <c r="AQ10" s="163">
        <v>0.36859999999999998</v>
      </c>
      <c r="AR10" s="163">
        <v>0.46450000000000002</v>
      </c>
      <c r="AS10" s="160">
        <v>427846</v>
      </c>
      <c r="AT10" s="160">
        <v>451432</v>
      </c>
      <c r="AU10" s="160">
        <v>448425</v>
      </c>
      <c r="AV10" s="160">
        <v>115060</v>
      </c>
      <c r="AW10" s="160">
        <v>163757</v>
      </c>
      <c r="AX10" s="160">
        <v>212442</v>
      </c>
      <c r="AY10" s="160">
        <v>115060</v>
      </c>
      <c r="AZ10" s="160">
        <v>163757</v>
      </c>
      <c r="BA10" s="160">
        <v>212442</v>
      </c>
      <c r="BB10" s="160">
        <v>115060</v>
      </c>
      <c r="BC10" s="160">
        <v>163757</v>
      </c>
      <c r="BD10" s="160">
        <v>212442</v>
      </c>
      <c r="BE10" s="161">
        <v>0.2641</v>
      </c>
      <c r="BF10" s="161">
        <v>0.3503</v>
      </c>
      <c r="BG10" s="161">
        <v>0.44869999999999999</v>
      </c>
      <c r="BH10" s="161">
        <v>0.2641</v>
      </c>
      <c r="BI10" s="161">
        <v>0.3503</v>
      </c>
      <c r="BJ10" s="161">
        <v>0.44869999999999999</v>
      </c>
      <c r="BK10" s="162">
        <v>0.2641</v>
      </c>
      <c r="BL10" s="162">
        <v>0.3503</v>
      </c>
      <c r="BM10" s="162">
        <v>0.44869999999999999</v>
      </c>
      <c r="BN10" s="160">
        <v>435601</v>
      </c>
      <c r="BO10" s="160">
        <v>467524</v>
      </c>
      <c r="BP10" s="160">
        <v>473415</v>
      </c>
      <c r="BQ10" s="163">
        <v>0.1</v>
      </c>
      <c r="BR10" s="163">
        <v>7.4999999999999997E-2</v>
      </c>
      <c r="BS10" s="162">
        <v>5.6250000000000001E-2</v>
      </c>
      <c r="BT10" s="163">
        <v>0.1</v>
      </c>
      <c r="BU10" s="163">
        <v>7.4999999999999997E-2</v>
      </c>
      <c r="BV10" s="162">
        <v>5.6250000000000001E-2</v>
      </c>
      <c r="BW10" s="163">
        <v>0.1</v>
      </c>
      <c r="BX10" s="163">
        <v>7.4999999999999997E-2</v>
      </c>
      <c r="BY10" s="162">
        <v>5.6250000000000001E-2</v>
      </c>
      <c r="BZ10" s="161">
        <v>0.1</v>
      </c>
      <c r="CA10" s="161">
        <v>7.4999999999999997E-2</v>
      </c>
      <c r="CB10" s="162">
        <v>5.6250000000000001E-2</v>
      </c>
      <c r="CC10" s="161">
        <v>0.12690000000000001</v>
      </c>
      <c r="CD10" s="161">
        <v>0.12690000000000001</v>
      </c>
      <c r="CE10" s="162">
        <v>0.12690000000000001</v>
      </c>
      <c r="CF10" s="151"/>
      <c r="CG10" s="151"/>
      <c r="CH10" s="152"/>
      <c r="CI10" s="151"/>
      <c r="CJ10" s="151"/>
      <c r="CK10" s="151"/>
      <c r="CL10" s="151"/>
      <c r="CM10" s="153"/>
      <c r="CN10" s="153"/>
      <c r="CO10" s="153"/>
      <c r="CP10" s="154"/>
      <c r="CQ10" s="155"/>
      <c r="CR10" s="155"/>
      <c r="CS10" s="155"/>
      <c r="CT10" s="155"/>
      <c r="CU10" s="155"/>
      <c r="CV10" s="155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</row>
    <row r="11" spans="1:112" s="143" customFormat="1" x14ac:dyDescent="0.25">
      <c r="A11" s="164">
        <f>A10+1</f>
        <v>2</v>
      </c>
      <c r="B11" s="159">
        <v>6</v>
      </c>
      <c r="C11" s="159" t="str">
        <f>INDEX(tech!$I$4:$J$24,MATCH('Data table'!B11,tech!$B$4:$B$24,0),1)</f>
        <v>Ощадбанк</v>
      </c>
      <c r="D11" s="159" t="str">
        <f>INDEX(tech!$I$4:$J$24,MATCH('Data table'!B11,tech!$B$4:$B$24,0),2)</f>
        <v>Банки з державною часткою</v>
      </c>
      <c r="E11" s="160">
        <v>26967</v>
      </c>
      <c r="F11" s="160">
        <v>26967</v>
      </c>
      <c r="G11" s="160">
        <v>26967</v>
      </c>
      <c r="H11" s="163">
        <v>0.13980000000000001</v>
      </c>
      <c r="I11" s="163">
        <v>0.13980000000000001</v>
      </c>
      <c r="J11" s="163">
        <v>0.13980000000000001</v>
      </c>
      <c r="K11" s="160">
        <v>192838</v>
      </c>
      <c r="L11" s="160">
        <v>23981</v>
      </c>
      <c r="M11" s="160">
        <v>23981</v>
      </c>
      <c r="N11" s="160">
        <v>23981</v>
      </c>
      <c r="O11" s="163">
        <v>0.1275</v>
      </c>
      <c r="P11" s="163">
        <v>0.1275</v>
      </c>
      <c r="Q11" s="163">
        <v>0.1275</v>
      </c>
      <c r="R11" s="160">
        <v>188059</v>
      </c>
      <c r="S11" s="169" t="str">
        <f t="shared" si="9"/>
        <v>ні</v>
      </c>
      <c r="T11" s="160">
        <v>23981</v>
      </c>
      <c r="U11" s="160">
        <v>23981</v>
      </c>
      <c r="V11" s="160">
        <v>23981</v>
      </c>
      <c r="W11" s="163">
        <v>0.1275</v>
      </c>
      <c r="X11" s="163">
        <v>0.1275</v>
      </c>
      <c r="Y11" s="163">
        <v>0.1275</v>
      </c>
      <c r="Z11" s="160">
        <v>188059</v>
      </c>
      <c r="AA11" s="160">
        <v>34518</v>
      </c>
      <c r="AB11" s="160">
        <v>44974</v>
      </c>
      <c r="AC11" s="160">
        <v>51538</v>
      </c>
      <c r="AD11" s="160">
        <v>34518</v>
      </c>
      <c r="AE11" s="160">
        <v>44974</v>
      </c>
      <c r="AF11" s="160">
        <v>51538</v>
      </c>
      <c r="AG11" s="160">
        <v>34518</v>
      </c>
      <c r="AH11" s="160">
        <v>44974</v>
      </c>
      <c r="AI11" s="160">
        <v>51538</v>
      </c>
      <c r="AJ11" s="163">
        <v>0.1736</v>
      </c>
      <c r="AK11" s="163">
        <v>0.22800000000000001</v>
      </c>
      <c r="AL11" s="163">
        <v>0.2555</v>
      </c>
      <c r="AM11" s="163">
        <v>0.1736</v>
      </c>
      <c r="AN11" s="163">
        <v>0.22800000000000001</v>
      </c>
      <c r="AO11" s="163">
        <v>0.2555</v>
      </c>
      <c r="AP11" s="163">
        <v>0.1736</v>
      </c>
      <c r="AQ11" s="163">
        <v>0.22800000000000001</v>
      </c>
      <c r="AR11" s="163">
        <v>0.2555</v>
      </c>
      <c r="AS11" s="160">
        <v>198855</v>
      </c>
      <c r="AT11" s="160">
        <v>197296</v>
      </c>
      <c r="AU11" s="160">
        <v>201683</v>
      </c>
      <c r="AV11" s="160">
        <v>29879</v>
      </c>
      <c r="AW11" s="160">
        <v>34921</v>
      </c>
      <c r="AX11" s="160">
        <v>42379</v>
      </c>
      <c r="AY11" s="160">
        <v>29879</v>
      </c>
      <c r="AZ11" s="160">
        <v>34921</v>
      </c>
      <c r="BA11" s="160">
        <v>42379</v>
      </c>
      <c r="BB11" s="160">
        <v>29879</v>
      </c>
      <c r="BC11" s="160">
        <v>34921</v>
      </c>
      <c r="BD11" s="160">
        <v>42379</v>
      </c>
      <c r="BE11" s="161">
        <v>0.14810000000000001</v>
      </c>
      <c r="BF11" s="161">
        <v>0.17430000000000001</v>
      </c>
      <c r="BG11" s="161">
        <v>0.2079</v>
      </c>
      <c r="BH11" s="161">
        <v>0.14810000000000001</v>
      </c>
      <c r="BI11" s="161">
        <v>0.17430000000000001</v>
      </c>
      <c r="BJ11" s="161">
        <v>0.2079</v>
      </c>
      <c r="BK11" s="162">
        <v>0.14810000000000001</v>
      </c>
      <c r="BL11" s="162">
        <v>0.17430000000000001</v>
      </c>
      <c r="BM11" s="162">
        <v>0.2079</v>
      </c>
      <c r="BN11" s="160">
        <v>201806</v>
      </c>
      <c r="BO11" s="160">
        <v>200345</v>
      </c>
      <c r="BP11" s="160">
        <v>203824</v>
      </c>
      <c r="BQ11" s="163">
        <v>0.1</v>
      </c>
      <c r="BR11" s="163">
        <v>7.4999999999999997E-2</v>
      </c>
      <c r="BS11" s="162">
        <v>5.6250000000000001E-2</v>
      </c>
      <c r="BT11" s="163">
        <v>0.1</v>
      </c>
      <c r="BU11" s="163">
        <v>7.4999999999999997E-2</v>
      </c>
      <c r="BV11" s="162">
        <v>5.6250000000000001E-2</v>
      </c>
      <c r="BW11" s="163">
        <v>0.1</v>
      </c>
      <c r="BX11" s="163">
        <v>7.4999999999999997E-2</v>
      </c>
      <c r="BY11" s="162">
        <v>5.6250000000000001E-2</v>
      </c>
      <c r="BZ11" s="161">
        <v>0.1</v>
      </c>
      <c r="CA11" s="161">
        <v>7.4999999999999997E-2</v>
      </c>
      <c r="CB11" s="162">
        <v>5.6250000000000001E-2</v>
      </c>
      <c r="CC11" s="161">
        <v>0.1333</v>
      </c>
      <c r="CD11" s="161">
        <v>0.1333</v>
      </c>
      <c r="CE11" s="162">
        <v>0.1333</v>
      </c>
      <c r="CF11" s="151"/>
      <c r="CG11" s="151"/>
      <c r="CH11" s="152"/>
      <c r="CI11" s="151"/>
      <c r="CJ11" s="151"/>
      <c r="CK11" s="151"/>
      <c r="CL11" s="151"/>
      <c r="CM11" s="153"/>
      <c r="CN11" s="153"/>
      <c r="CO11" s="153"/>
      <c r="CP11" s="154"/>
      <c r="CQ11" s="155"/>
      <c r="CR11" s="155"/>
      <c r="CS11" s="155"/>
      <c r="CT11" s="155"/>
      <c r="CU11" s="155"/>
      <c r="CV11" s="155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</row>
    <row r="12" spans="1:112" s="143" customFormat="1" x14ac:dyDescent="0.25">
      <c r="A12" s="164">
        <f t="shared" ref="A12:A30" si="10">A11+1</f>
        <v>3</v>
      </c>
      <c r="B12" s="159">
        <v>2</v>
      </c>
      <c r="C12" s="159" t="str">
        <f>INDEX(tech!$I$4:$J$24,MATCH('Data table'!B12,tech!$B$4:$B$24,0),1)</f>
        <v>Укрексімбанк</v>
      </c>
      <c r="D12" s="159" t="str">
        <f>INDEX(tech!$I$4:$J$24,MATCH('Data table'!B12,tech!$B$4:$B$24,0),2)</f>
        <v>Банки з державною часткою</v>
      </c>
      <c r="E12" s="160">
        <v>9867</v>
      </c>
      <c r="F12" s="160">
        <v>9867</v>
      </c>
      <c r="G12" s="160">
        <v>13230</v>
      </c>
      <c r="H12" s="163">
        <v>0.14349999999999999</v>
      </c>
      <c r="I12" s="163">
        <v>0.107</v>
      </c>
      <c r="J12" s="163">
        <v>0.107</v>
      </c>
      <c r="K12" s="160">
        <v>92229</v>
      </c>
      <c r="L12" s="160">
        <v>6516</v>
      </c>
      <c r="M12" s="160">
        <v>6516</v>
      </c>
      <c r="N12" s="160">
        <v>9880</v>
      </c>
      <c r="O12" s="163">
        <v>0.1086</v>
      </c>
      <c r="P12" s="163">
        <v>7.1599999999999997E-2</v>
      </c>
      <c r="Q12" s="163">
        <v>7.1599999999999997E-2</v>
      </c>
      <c r="R12" s="160">
        <v>90957</v>
      </c>
      <c r="S12" s="169" t="str">
        <f t="shared" si="9"/>
        <v>ні</v>
      </c>
      <c r="T12" s="160">
        <v>6516</v>
      </c>
      <c r="U12" s="160">
        <v>6516</v>
      </c>
      <c r="V12" s="160">
        <v>9880</v>
      </c>
      <c r="W12" s="163">
        <v>0.1086</v>
      </c>
      <c r="X12" s="163">
        <v>7.1599999999999997E-2</v>
      </c>
      <c r="Y12" s="163">
        <v>7.1599999999999997E-2</v>
      </c>
      <c r="Z12" s="160">
        <v>90957</v>
      </c>
      <c r="AA12" s="160">
        <v>7236</v>
      </c>
      <c r="AB12" s="160">
        <v>10729</v>
      </c>
      <c r="AC12" s="160">
        <v>13593</v>
      </c>
      <c r="AD12" s="160">
        <v>7236</v>
      </c>
      <c r="AE12" s="160">
        <v>10729</v>
      </c>
      <c r="AF12" s="160">
        <v>13593</v>
      </c>
      <c r="AG12" s="160">
        <v>9930</v>
      </c>
      <c r="AH12" s="160">
        <v>12598</v>
      </c>
      <c r="AI12" s="160">
        <v>14531</v>
      </c>
      <c r="AJ12" s="163">
        <v>0.1086</v>
      </c>
      <c r="AK12" s="163">
        <v>0.13289999999999999</v>
      </c>
      <c r="AL12" s="163">
        <v>0.1515</v>
      </c>
      <c r="AM12" s="163">
        <v>7.9100000000000004E-2</v>
      </c>
      <c r="AN12" s="163">
        <v>0.1132</v>
      </c>
      <c r="AO12" s="163">
        <v>0.14169999999999999</v>
      </c>
      <c r="AP12" s="163">
        <v>7.9100000000000004E-2</v>
      </c>
      <c r="AQ12" s="163">
        <v>0.1132</v>
      </c>
      <c r="AR12" s="163">
        <v>0.14169999999999999</v>
      </c>
      <c r="AS12" s="160">
        <v>91451</v>
      </c>
      <c r="AT12" s="160">
        <v>94768</v>
      </c>
      <c r="AU12" s="160">
        <v>95926</v>
      </c>
      <c r="AV12" s="160">
        <v>3311</v>
      </c>
      <c r="AW12" s="160">
        <v>1934</v>
      </c>
      <c r="AX12" s="160">
        <v>3238</v>
      </c>
      <c r="AY12" s="160">
        <v>3311</v>
      </c>
      <c r="AZ12" s="160">
        <v>1934</v>
      </c>
      <c r="BA12" s="160">
        <v>3238</v>
      </c>
      <c r="BB12" s="160">
        <v>6200</v>
      </c>
      <c r="BC12" s="160">
        <v>4050</v>
      </c>
      <c r="BD12" s="160">
        <v>4350</v>
      </c>
      <c r="BE12" s="161">
        <v>6.54E-2</v>
      </c>
      <c r="BF12" s="161">
        <v>4.07E-2</v>
      </c>
      <c r="BG12" s="161">
        <v>4.3200000000000002E-2</v>
      </c>
      <c r="BH12" s="161">
        <v>3.5000000000000003E-2</v>
      </c>
      <c r="BI12" s="161">
        <v>1.9400000000000001E-2</v>
      </c>
      <c r="BJ12" s="161">
        <v>3.2199999999999999E-2</v>
      </c>
      <c r="BK12" s="162">
        <v>3.5000000000000003E-2</v>
      </c>
      <c r="BL12" s="162">
        <v>1.9400000000000001E-2</v>
      </c>
      <c r="BM12" s="162">
        <v>3.2199999999999999E-2</v>
      </c>
      <c r="BN12" s="160">
        <v>94747</v>
      </c>
      <c r="BO12" s="160">
        <v>99579</v>
      </c>
      <c r="BP12" s="160">
        <v>100604</v>
      </c>
      <c r="BQ12" s="163">
        <v>0.1</v>
      </c>
      <c r="BR12" s="163">
        <v>7.4999999999999997E-2</v>
      </c>
      <c r="BS12" s="162">
        <v>5.6250000000000001E-2</v>
      </c>
      <c r="BT12" s="163">
        <v>0.1</v>
      </c>
      <c r="BU12" s="163">
        <v>7.4999999999999997E-2</v>
      </c>
      <c r="BV12" s="162">
        <v>5.6250000000000001E-2</v>
      </c>
      <c r="BW12" s="163">
        <v>0.1736</v>
      </c>
      <c r="BX12" s="163">
        <v>0.13250000000000001</v>
      </c>
      <c r="BY12" s="163">
        <v>0.112</v>
      </c>
      <c r="BZ12" s="163">
        <v>0.1507</v>
      </c>
      <c r="CA12" s="163">
        <v>0.1094</v>
      </c>
      <c r="CB12" s="163">
        <v>8.8700000000000001E-2</v>
      </c>
      <c r="CC12" s="161">
        <v>0.12520000000000001</v>
      </c>
      <c r="CD12" s="161">
        <v>9.9000000000000005E-2</v>
      </c>
      <c r="CE12" s="162">
        <v>9.9000000000000005E-2</v>
      </c>
      <c r="CF12" s="151"/>
      <c r="CG12" s="151"/>
      <c r="CH12" s="152"/>
      <c r="CI12" s="151"/>
      <c r="CJ12" s="151"/>
      <c r="CK12" s="151"/>
      <c r="CL12" s="151"/>
      <c r="CM12" s="153"/>
      <c r="CN12" s="153"/>
      <c r="CO12" s="153"/>
      <c r="CP12" s="154"/>
      <c r="CQ12" s="155"/>
      <c r="CR12" s="155"/>
      <c r="CS12" s="155"/>
      <c r="CT12" s="155"/>
      <c r="CU12" s="155"/>
      <c r="CV12" s="155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</row>
    <row r="13" spans="1:112" s="143" customFormat="1" x14ac:dyDescent="0.25">
      <c r="A13" s="164">
        <f t="shared" si="10"/>
        <v>4</v>
      </c>
      <c r="B13" s="159">
        <v>274</v>
      </c>
      <c r="C13" s="159" t="str">
        <f>INDEX(tech!$I$4:$J$24,MATCH('Data table'!B13,tech!$B$4:$B$24,0),1)</f>
        <v>Укргазбанк</v>
      </c>
      <c r="D13" s="159" t="str">
        <f>INDEX(tech!$I$4:$J$24,MATCH('Data table'!B13,tech!$B$4:$B$24,0),2)</f>
        <v>Банки з державною часткою</v>
      </c>
      <c r="E13" s="160">
        <v>13016</v>
      </c>
      <c r="F13" s="160">
        <v>13016</v>
      </c>
      <c r="G13" s="160">
        <v>13016</v>
      </c>
      <c r="H13" s="163">
        <v>0.16370000000000001</v>
      </c>
      <c r="I13" s="163">
        <v>0.16370000000000001</v>
      </c>
      <c r="J13" s="163">
        <v>0.16370000000000001</v>
      </c>
      <c r="K13" s="160">
        <v>79509</v>
      </c>
      <c r="L13" s="160">
        <v>11545</v>
      </c>
      <c r="M13" s="160">
        <v>11545</v>
      </c>
      <c r="N13" s="160">
        <v>11545</v>
      </c>
      <c r="O13" s="163">
        <v>0.1477</v>
      </c>
      <c r="P13" s="163">
        <v>0.1477</v>
      </c>
      <c r="Q13" s="163">
        <v>0.1477</v>
      </c>
      <c r="R13" s="160">
        <v>78154</v>
      </c>
      <c r="S13" s="169" t="str">
        <f t="shared" si="9"/>
        <v>ні</v>
      </c>
      <c r="T13" s="160">
        <v>11545</v>
      </c>
      <c r="U13" s="160">
        <v>11545</v>
      </c>
      <c r="V13" s="160">
        <v>11545</v>
      </c>
      <c r="W13" s="163">
        <v>0.1477</v>
      </c>
      <c r="X13" s="163">
        <v>0.1477</v>
      </c>
      <c r="Y13" s="163">
        <v>0.1477</v>
      </c>
      <c r="Z13" s="160">
        <v>78154</v>
      </c>
      <c r="AA13" s="160">
        <v>14801</v>
      </c>
      <c r="AB13" s="160">
        <v>18278</v>
      </c>
      <c r="AC13" s="160">
        <v>20658</v>
      </c>
      <c r="AD13" s="160">
        <v>14801</v>
      </c>
      <c r="AE13" s="160">
        <v>18278</v>
      </c>
      <c r="AF13" s="160">
        <v>20658</v>
      </c>
      <c r="AG13" s="160">
        <v>14801</v>
      </c>
      <c r="AH13" s="160">
        <v>18278</v>
      </c>
      <c r="AI13" s="160">
        <v>20658</v>
      </c>
      <c r="AJ13" s="163">
        <v>0.18099999999999999</v>
      </c>
      <c r="AK13" s="163">
        <v>0.21490000000000001</v>
      </c>
      <c r="AL13" s="163">
        <v>0.23960000000000001</v>
      </c>
      <c r="AM13" s="163">
        <v>0.18099999999999999</v>
      </c>
      <c r="AN13" s="163">
        <v>0.21490000000000001</v>
      </c>
      <c r="AO13" s="163">
        <v>0.23960000000000001</v>
      </c>
      <c r="AP13" s="163">
        <v>0.18099999999999999</v>
      </c>
      <c r="AQ13" s="163">
        <v>0.21490000000000001</v>
      </c>
      <c r="AR13" s="163">
        <v>0.23960000000000001</v>
      </c>
      <c r="AS13" s="160">
        <v>81788</v>
      </c>
      <c r="AT13" s="160">
        <v>85067</v>
      </c>
      <c r="AU13" s="160">
        <v>86206</v>
      </c>
      <c r="AV13" s="160">
        <v>12269</v>
      </c>
      <c r="AW13" s="160">
        <v>11558</v>
      </c>
      <c r="AX13" s="160">
        <v>13119</v>
      </c>
      <c r="AY13" s="160">
        <v>12269</v>
      </c>
      <c r="AZ13" s="160">
        <v>11558</v>
      </c>
      <c r="BA13" s="160">
        <v>13119</v>
      </c>
      <c r="BB13" s="160">
        <v>12269</v>
      </c>
      <c r="BC13" s="160">
        <v>11558</v>
      </c>
      <c r="BD13" s="160">
        <v>13119</v>
      </c>
      <c r="BE13" s="161">
        <v>0.1467</v>
      </c>
      <c r="BF13" s="161">
        <v>0.1328</v>
      </c>
      <c r="BG13" s="161">
        <v>0.1497</v>
      </c>
      <c r="BH13" s="161">
        <v>0.1467</v>
      </c>
      <c r="BI13" s="161">
        <v>0.1328</v>
      </c>
      <c r="BJ13" s="161">
        <v>0.1497</v>
      </c>
      <c r="BK13" s="162">
        <v>0.1467</v>
      </c>
      <c r="BL13" s="162">
        <v>0.1328</v>
      </c>
      <c r="BM13" s="162">
        <v>0.1497</v>
      </c>
      <c r="BN13" s="160">
        <v>83640</v>
      </c>
      <c r="BO13" s="160">
        <v>87019</v>
      </c>
      <c r="BP13" s="160">
        <v>87646</v>
      </c>
      <c r="BQ13" s="163">
        <v>0.1</v>
      </c>
      <c r="BR13" s="163">
        <v>7.4999999999999997E-2</v>
      </c>
      <c r="BS13" s="162">
        <v>5.6250000000000001E-2</v>
      </c>
      <c r="BT13" s="163">
        <v>0.1</v>
      </c>
      <c r="BU13" s="163">
        <v>7.4999999999999997E-2</v>
      </c>
      <c r="BV13" s="162">
        <v>5.6250000000000001E-2</v>
      </c>
      <c r="BW13" s="163">
        <v>0.1</v>
      </c>
      <c r="BX13" s="163">
        <v>7.4999999999999997E-2</v>
      </c>
      <c r="BY13" s="162">
        <v>5.6250000000000001E-2</v>
      </c>
      <c r="BZ13" s="161">
        <v>0.1</v>
      </c>
      <c r="CA13" s="161">
        <v>7.4999999999999997E-2</v>
      </c>
      <c r="CB13" s="161">
        <v>5.6250000000000001E-2</v>
      </c>
      <c r="CC13" s="161">
        <v>0.16900000000000001</v>
      </c>
      <c r="CD13" s="161">
        <v>0.16900000000000001</v>
      </c>
      <c r="CE13" s="162">
        <v>0.16900000000000001</v>
      </c>
      <c r="CF13" s="151"/>
      <c r="CG13" s="151"/>
      <c r="CH13" s="152"/>
      <c r="CI13" s="151"/>
      <c r="CJ13" s="151"/>
      <c r="CK13" s="151"/>
      <c r="CL13" s="151"/>
      <c r="CM13" s="153"/>
      <c r="CN13" s="153"/>
      <c r="CO13" s="153"/>
      <c r="CP13" s="154"/>
      <c r="CQ13" s="155"/>
      <c r="CR13" s="155"/>
      <c r="CS13" s="155"/>
      <c r="CT13" s="155"/>
      <c r="CU13" s="155"/>
      <c r="CV13" s="155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</row>
    <row r="14" spans="1:112" s="143" customFormat="1" x14ac:dyDescent="0.25">
      <c r="A14" s="164">
        <f t="shared" si="10"/>
        <v>5</v>
      </c>
      <c r="B14" s="159">
        <v>272</v>
      </c>
      <c r="C14" s="159" t="str">
        <f>INDEX(tech!$I$4:$J$24,MATCH('Data table'!B14,tech!$B$4:$B$24,0),1)</f>
        <v>Сенс Банк</v>
      </c>
      <c r="D14" s="159" t="str">
        <f>INDEX(tech!$I$4:$J$24,MATCH('Data table'!B14,tech!$B$4:$B$24,0),2)</f>
        <v>Банки з державною часткою</v>
      </c>
      <c r="E14" s="160">
        <v>9409</v>
      </c>
      <c r="F14" s="160">
        <v>9409</v>
      </c>
      <c r="G14" s="160">
        <v>9409</v>
      </c>
      <c r="H14" s="163">
        <v>0.13300000000000001</v>
      </c>
      <c r="I14" s="163">
        <v>0.13300000000000001</v>
      </c>
      <c r="J14" s="163">
        <v>0.13300000000000001</v>
      </c>
      <c r="K14" s="160">
        <v>70754</v>
      </c>
      <c r="L14" s="160">
        <v>7703</v>
      </c>
      <c r="M14" s="160">
        <v>7703</v>
      </c>
      <c r="N14" s="160">
        <v>7703</v>
      </c>
      <c r="O14" s="163">
        <v>0.1114</v>
      </c>
      <c r="P14" s="163">
        <v>0.1114</v>
      </c>
      <c r="Q14" s="163">
        <v>0.1114</v>
      </c>
      <c r="R14" s="160">
        <v>69158</v>
      </c>
      <c r="S14" s="169" t="str">
        <f t="shared" si="9"/>
        <v>ні</v>
      </c>
      <c r="T14" s="160">
        <v>7703</v>
      </c>
      <c r="U14" s="160">
        <v>7703</v>
      </c>
      <c r="V14" s="160">
        <v>7703</v>
      </c>
      <c r="W14" s="163">
        <v>0.1114</v>
      </c>
      <c r="X14" s="163">
        <v>0.1114</v>
      </c>
      <c r="Y14" s="163">
        <v>0.1114</v>
      </c>
      <c r="Z14" s="160">
        <v>69158</v>
      </c>
      <c r="AA14" s="160">
        <v>8283</v>
      </c>
      <c r="AB14" s="160">
        <v>8843</v>
      </c>
      <c r="AC14" s="160">
        <v>8843</v>
      </c>
      <c r="AD14" s="160">
        <v>8283</v>
      </c>
      <c r="AE14" s="160">
        <v>8843</v>
      </c>
      <c r="AF14" s="160">
        <v>8843</v>
      </c>
      <c r="AG14" s="160">
        <v>8283</v>
      </c>
      <c r="AH14" s="160">
        <v>8843</v>
      </c>
      <c r="AI14" s="160">
        <v>8843</v>
      </c>
      <c r="AJ14" s="163">
        <v>0.1196</v>
      </c>
      <c r="AK14" s="163">
        <v>0.13039999999999999</v>
      </c>
      <c r="AL14" s="163">
        <v>0.13300000000000001</v>
      </c>
      <c r="AM14" s="163">
        <v>0.1196</v>
      </c>
      <c r="AN14" s="163">
        <v>0.13039999999999999</v>
      </c>
      <c r="AO14" s="163">
        <v>0.13300000000000001</v>
      </c>
      <c r="AP14" s="163">
        <v>0.1196</v>
      </c>
      <c r="AQ14" s="163">
        <v>0.13039999999999999</v>
      </c>
      <c r="AR14" s="163">
        <v>0.13300000000000001</v>
      </c>
      <c r="AS14" s="160">
        <v>69236</v>
      </c>
      <c r="AT14" s="160">
        <v>67813</v>
      </c>
      <c r="AU14" s="160">
        <v>66488</v>
      </c>
      <c r="AV14" s="160">
        <v>5802</v>
      </c>
      <c r="AW14" s="160">
        <v>3090</v>
      </c>
      <c r="AX14" s="160">
        <v>2246</v>
      </c>
      <c r="AY14" s="160">
        <v>5802</v>
      </c>
      <c r="AZ14" s="160">
        <v>3090</v>
      </c>
      <c r="BA14" s="160">
        <v>2246</v>
      </c>
      <c r="BB14" s="160">
        <v>5802</v>
      </c>
      <c r="BC14" s="160">
        <v>3090</v>
      </c>
      <c r="BD14" s="160">
        <v>2246</v>
      </c>
      <c r="BE14" s="161">
        <v>8.2699999999999996E-2</v>
      </c>
      <c r="BF14" s="161">
        <v>4.4699999999999997E-2</v>
      </c>
      <c r="BG14" s="161">
        <v>3.32E-2</v>
      </c>
      <c r="BH14" s="161">
        <v>8.2699999999999996E-2</v>
      </c>
      <c r="BI14" s="161">
        <v>4.4699999999999997E-2</v>
      </c>
      <c r="BJ14" s="161">
        <v>3.32E-2</v>
      </c>
      <c r="BK14" s="162">
        <v>8.2699999999999996E-2</v>
      </c>
      <c r="BL14" s="162">
        <v>4.4699999999999997E-2</v>
      </c>
      <c r="BM14" s="162">
        <v>3.32E-2</v>
      </c>
      <c r="BN14" s="160">
        <v>70175</v>
      </c>
      <c r="BO14" s="160">
        <v>69086</v>
      </c>
      <c r="BP14" s="160">
        <v>67619</v>
      </c>
      <c r="BQ14" s="163">
        <v>0.1</v>
      </c>
      <c r="BR14" s="163">
        <v>7.4999999999999997E-2</v>
      </c>
      <c r="BS14" s="162">
        <v>5.6250000000000001E-2</v>
      </c>
      <c r="BT14" s="163">
        <v>0.1</v>
      </c>
      <c r="BU14" s="163">
        <v>7.4999999999999997E-2</v>
      </c>
      <c r="BV14" s="162">
        <v>5.6250000000000001E-2</v>
      </c>
      <c r="BW14" s="163">
        <v>0.1767</v>
      </c>
      <c r="BX14" s="163">
        <v>0.1522</v>
      </c>
      <c r="BY14" s="163">
        <v>0.13389999999999999</v>
      </c>
      <c r="BZ14" s="163">
        <v>0.1351</v>
      </c>
      <c r="CA14" s="163">
        <v>0.11</v>
      </c>
      <c r="CB14" s="163">
        <v>9.11E-2</v>
      </c>
      <c r="CC14" s="161">
        <v>0.1118</v>
      </c>
      <c r="CD14" s="161">
        <v>0.1118</v>
      </c>
      <c r="CE14" s="162">
        <v>0.1118</v>
      </c>
      <c r="CF14" s="151"/>
      <c r="CG14" s="151"/>
      <c r="CH14" s="152"/>
      <c r="CI14" s="151"/>
      <c r="CJ14" s="151"/>
      <c r="CK14" s="151"/>
      <c r="CL14" s="151"/>
      <c r="CM14" s="153"/>
      <c r="CN14" s="153"/>
      <c r="CO14" s="153"/>
      <c r="CP14" s="154"/>
      <c r="CQ14" s="155"/>
      <c r="CR14" s="155"/>
      <c r="CS14" s="155"/>
      <c r="CT14" s="155"/>
      <c r="CU14" s="155"/>
      <c r="CV14" s="155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</row>
    <row r="15" spans="1:112" s="143" customFormat="1" x14ac:dyDescent="0.25">
      <c r="A15" s="164">
        <f t="shared" si="10"/>
        <v>6</v>
      </c>
      <c r="B15" s="159">
        <v>36</v>
      </c>
      <c r="C15" s="159" t="str">
        <f>INDEX(tech!$I$4:$J$24,MATCH('Data table'!B15,tech!$B$4:$B$24,0),1)</f>
        <v>Райффайзен Банк</v>
      </c>
      <c r="D15" s="159" t="str">
        <f>INDEX(tech!$I$4:$J$24,MATCH('Data table'!B15,tech!$B$4:$B$24,0),2)</f>
        <v>Банки іноземних банківських груп</v>
      </c>
      <c r="E15" s="160">
        <v>18717</v>
      </c>
      <c r="F15" s="160">
        <v>18717</v>
      </c>
      <c r="G15" s="160">
        <v>18722</v>
      </c>
      <c r="H15" s="163">
        <v>0.16039999999999999</v>
      </c>
      <c r="I15" s="163">
        <v>0.1603</v>
      </c>
      <c r="J15" s="163">
        <v>0.1603</v>
      </c>
      <c r="K15" s="160">
        <v>116726</v>
      </c>
      <c r="L15" s="160">
        <v>17999</v>
      </c>
      <c r="M15" s="160">
        <v>17999</v>
      </c>
      <c r="N15" s="160">
        <v>18004</v>
      </c>
      <c r="O15" s="163">
        <v>0.15279999999999999</v>
      </c>
      <c r="P15" s="163">
        <v>0.15279999999999999</v>
      </c>
      <c r="Q15" s="163">
        <v>0.15279999999999999</v>
      </c>
      <c r="R15" s="160">
        <v>117789</v>
      </c>
      <c r="S15" s="169" t="str">
        <f t="shared" si="9"/>
        <v>ні</v>
      </c>
      <c r="T15" s="160">
        <v>17999</v>
      </c>
      <c r="U15" s="160">
        <v>17999</v>
      </c>
      <c r="V15" s="160">
        <v>18004</v>
      </c>
      <c r="W15" s="163">
        <v>0.15279999999999999</v>
      </c>
      <c r="X15" s="163">
        <v>0.15279999999999999</v>
      </c>
      <c r="Y15" s="163">
        <v>0.15279999999999999</v>
      </c>
      <c r="Z15" s="160">
        <v>117789</v>
      </c>
      <c r="AA15" s="160">
        <v>30368</v>
      </c>
      <c r="AB15" s="160">
        <v>36656</v>
      </c>
      <c r="AC15" s="160">
        <v>40805</v>
      </c>
      <c r="AD15" s="160">
        <v>30368</v>
      </c>
      <c r="AE15" s="160">
        <v>36656</v>
      </c>
      <c r="AF15" s="160">
        <v>40805</v>
      </c>
      <c r="AG15" s="160">
        <v>30373</v>
      </c>
      <c r="AH15" s="160">
        <v>36661</v>
      </c>
      <c r="AI15" s="160">
        <v>40810</v>
      </c>
      <c r="AJ15" s="163">
        <v>0.2477</v>
      </c>
      <c r="AK15" s="163">
        <v>0.28999999999999998</v>
      </c>
      <c r="AL15" s="163">
        <v>0.32640000000000002</v>
      </c>
      <c r="AM15" s="163">
        <v>0.2477</v>
      </c>
      <c r="AN15" s="163">
        <v>0.28999999999999998</v>
      </c>
      <c r="AO15" s="163">
        <v>0.32640000000000002</v>
      </c>
      <c r="AP15" s="163">
        <v>0.2477</v>
      </c>
      <c r="AQ15" s="163">
        <v>0.28999999999999998</v>
      </c>
      <c r="AR15" s="163">
        <v>0.32640000000000002</v>
      </c>
      <c r="AS15" s="160">
        <v>122612</v>
      </c>
      <c r="AT15" s="160">
        <v>126406</v>
      </c>
      <c r="AU15" s="160">
        <v>125027</v>
      </c>
      <c r="AV15" s="160">
        <v>28931</v>
      </c>
      <c r="AW15" s="160">
        <v>33672</v>
      </c>
      <c r="AX15" s="160">
        <v>39246</v>
      </c>
      <c r="AY15" s="160">
        <v>28931</v>
      </c>
      <c r="AZ15" s="160">
        <v>33672</v>
      </c>
      <c r="BA15" s="160">
        <v>39246</v>
      </c>
      <c r="BB15" s="160">
        <v>28936</v>
      </c>
      <c r="BC15" s="160">
        <v>33677</v>
      </c>
      <c r="BD15" s="160">
        <v>39251</v>
      </c>
      <c r="BE15" s="161">
        <v>0.23139999999999999</v>
      </c>
      <c r="BF15" s="161">
        <v>0.25979999999999998</v>
      </c>
      <c r="BG15" s="161">
        <v>0.30199999999999999</v>
      </c>
      <c r="BH15" s="161">
        <v>0.23139999999999999</v>
      </c>
      <c r="BI15" s="161">
        <v>0.25969999999999999</v>
      </c>
      <c r="BJ15" s="161">
        <v>0.3019</v>
      </c>
      <c r="BK15" s="162">
        <v>0.23139999999999999</v>
      </c>
      <c r="BL15" s="162">
        <v>0.25969999999999999</v>
      </c>
      <c r="BM15" s="162">
        <v>0.3019</v>
      </c>
      <c r="BN15" s="160">
        <v>125020</v>
      </c>
      <c r="BO15" s="160">
        <v>129648</v>
      </c>
      <c r="BP15" s="160">
        <v>129988</v>
      </c>
      <c r="BQ15" s="163">
        <v>0.1</v>
      </c>
      <c r="BR15" s="163">
        <v>7.4999999999999997E-2</v>
      </c>
      <c r="BS15" s="162">
        <v>5.6250000000000001E-2</v>
      </c>
      <c r="BT15" s="163">
        <v>0.1</v>
      </c>
      <c r="BU15" s="163">
        <v>7.4999999999999997E-2</v>
      </c>
      <c r="BV15" s="162">
        <v>5.6250000000000001E-2</v>
      </c>
      <c r="BW15" s="163">
        <v>0.1</v>
      </c>
      <c r="BX15" s="163">
        <v>7.4999999999999997E-2</v>
      </c>
      <c r="BY15" s="162">
        <v>5.6250000000000001E-2</v>
      </c>
      <c r="BZ15" s="161">
        <v>0.1</v>
      </c>
      <c r="CA15" s="161">
        <v>7.4999999999999997E-2</v>
      </c>
      <c r="CB15" s="162">
        <v>5.6250000000000001E-2</v>
      </c>
      <c r="CC15" s="161">
        <v>0.1328</v>
      </c>
      <c r="CD15" s="161">
        <v>0.1328</v>
      </c>
      <c r="CE15" s="162">
        <v>0.1328</v>
      </c>
      <c r="CF15" s="151"/>
      <c r="CG15" s="151"/>
      <c r="CH15" s="152"/>
      <c r="CI15" s="151"/>
      <c r="CJ15" s="151"/>
      <c r="CK15" s="151"/>
      <c r="CL15" s="151"/>
      <c r="CM15" s="153"/>
      <c r="CN15" s="153"/>
      <c r="CO15" s="153"/>
      <c r="CP15" s="154"/>
      <c r="CQ15" s="155"/>
      <c r="CR15" s="155"/>
      <c r="CS15" s="155"/>
      <c r="CT15" s="155"/>
      <c r="CU15" s="155"/>
      <c r="CV15" s="155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</row>
    <row r="16" spans="1:112" s="143" customFormat="1" x14ac:dyDescent="0.25">
      <c r="A16" s="164">
        <f t="shared" si="10"/>
        <v>7</v>
      </c>
      <c r="B16" s="159">
        <v>136</v>
      </c>
      <c r="C16" s="159" t="str">
        <f>INDEX(tech!$I$4:$J$24,MATCH('Data table'!B16,tech!$B$4:$B$24,0),1)</f>
        <v>УкрСиббанк</v>
      </c>
      <c r="D16" s="159" t="str">
        <f>INDEX(tech!$I$4:$J$24,MATCH('Data table'!B16,tech!$B$4:$B$24,0),2)</f>
        <v>Банки іноземних банківських груп</v>
      </c>
      <c r="E16" s="160">
        <v>10946</v>
      </c>
      <c r="F16" s="160">
        <v>10946</v>
      </c>
      <c r="G16" s="160">
        <v>11907</v>
      </c>
      <c r="H16" s="163">
        <v>0.27210000000000001</v>
      </c>
      <c r="I16" s="163">
        <v>0.25009999999999999</v>
      </c>
      <c r="J16" s="163">
        <v>0.25009999999999999</v>
      </c>
      <c r="K16" s="160">
        <v>43767</v>
      </c>
      <c r="L16" s="160">
        <v>10946</v>
      </c>
      <c r="M16" s="160">
        <v>10946</v>
      </c>
      <c r="N16" s="160">
        <v>11907</v>
      </c>
      <c r="O16" s="163">
        <v>0.27210000000000001</v>
      </c>
      <c r="P16" s="163">
        <v>0.25009999999999999</v>
      </c>
      <c r="Q16" s="163">
        <v>0.25009999999999999</v>
      </c>
      <c r="R16" s="160">
        <v>43767</v>
      </c>
      <c r="S16" s="169" t="str">
        <f t="shared" si="9"/>
        <v>ні</v>
      </c>
      <c r="T16" s="160">
        <v>10946</v>
      </c>
      <c r="U16" s="160">
        <v>10946</v>
      </c>
      <c r="V16" s="160">
        <v>11907</v>
      </c>
      <c r="W16" s="163">
        <v>0.27210000000000001</v>
      </c>
      <c r="X16" s="163">
        <v>0.25009999999999999</v>
      </c>
      <c r="Y16" s="163">
        <v>0.25009999999999999</v>
      </c>
      <c r="Z16" s="160">
        <v>43767</v>
      </c>
      <c r="AA16" s="160">
        <v>23177</v>
      </c>
      <c r="AB16" s="160">
        <v>27399</v>
      </c>
      <c r="AC16" s="160">
        <v>30485</v>
      </c>
      <c r="AD16" s="160">
        <v>23177</v>
      </c>
      <c r="AE16" s="160">
        <v>27399</v>
      </c>
      <c r="AF16" s="160">
        <v>30485</v>
      </c>
      <c r="AG16" s="160">
        <v>24138</v>
      </c>
      <c r="AH16" s="160">
        <v>28361</v>
      </c>
      <c r="AI16" s="160">
        <v>31446</v>
      </c>
      <c r="AJ16" s="163">
        <v>0.51060000000000005</v>
      </c>
      <c r="AK16" s="163">
        <v>0.57750000000000001</v>
      </c>
      <c r="AL16" s="163">
        <v>0.65029999999999999</v>
      </c>
      <c r="AM16" s="163">
        <v>0.49020000000000002</v>
      </c>
      <c r="AN16" s="163">
        <v>0.55800000000000005</v>
      </c>
      <c r="AO16" s="163">
        <v>0.63039999999999996</v>
      </c>
      <c r="AP16" s="163">
        <v>0.49020000000000002</v>
      </c>
      <c r="AQ16" s="163">
        <v>0.55800000000000005</v>
      </c>
      <c r="AR16" s="163">
        <v>0.63039999999999996</v>
      </c>
      <c r="AS16" s="160">
        <v>47276</v>
      </c>
      <c r="AT16" s="160">
        <v>49106</v>
      </c>
      <c r="AU16" s="160">
        <v>48359</v>
      </c>
      <c r="AV16" s="160">
        <v>22072</v>
      </c>
      <c r="AW16" s="160">
        <v>26033</v>
      </c>
      <c r="AX16" s="160">
        <v>30318</v>
      </c>
      <c r="AY16" s="160">
        <v>22072</v>
      </c>
      <c r="AZ16" s="160">
        <v>26033</v>
      </c>
      <c r="BA16" s="160">
        <v>30318</v>
      </c>
      <c r="BB16" s="160">
        <v>23033</v>
      </c>
      <c r="BC16" s="160">
        <v>26995</v>
      </c>
      <c r="BD16" s="160">
        <v>31279</v>
      </c>
      <c r="BE16" s="161">
        <v>0.48320000000000002</v>
      </c>
      <c r="BF16" s="161">
        <v>0.54039999999999999</v>
      </c>
      <c r="BG16" s="161">
        <v>0.62939999999999996</v>
      </c>
      <c r="BH16" s="161">
        <v>0.46300000000000002</v>
      </c>
      <c r="BI16" s="161">
        <v>0.5212</v>
      </c>
      <c r="BJ16" s="161">
        <v>0.61</v>
      </c>
      <c r="BK16" s="162">
        <v>0.46300000000000002</v>
      </c>
      <c r="BL16" s="162">
        <v>0.5212</v>
      </c>
      <c r="BM16" s="162">
        <v>0.61</v>
      </c>
      <c r="BN16" s="160">
        <v>47667</v>
      </c>
      <c r="BO16" s="160">
        <v>49951</v>
      </c>
      <c r="BP16" s="160">
        <v>49698</v>
      </c>
      <c r="BQ16" s="163">
        <v>0.1</v>
      </c>
      <c r="BR16" s="163">
        <v>7.4999999999999997E-2</v>
      </c>
      <c r="BS16" s="162">
        <v>5.6250000000000001E-2</v>
      </c>
      <c r="BT16" s="163">
        <v>0.1</v>
      </c>
      <c r="BU16" s="163">
        <v>7.4999999999999997E-2</v>
      </c>
      <c r="BV16" s="162">
        <v>5.6250000000000001E-2</v>
      </c>
      <c r="BW16" s="163">
        <v>0.1</v>
      </c>
      <c r="BX16" s="163">
        <v>7.4999999999999997E-2</v>
      </c>
      <c r="BY16" s="162">
        <v>5.6250000000000001E-2</v>
      </c>
      <c r="BZ16" s="161">
        <v>0.1</v>
      </c>
      <c r="CA16" s="161">
        <v>7.4999999999999997E-2</v>
      </c>
      <c r="CB16" s="162">
        <v>5.6250000000000001E-2</v>
      </c>
      <c r="CC16" s="161">
        <v>0.214</v>
      </c>
      <c r="CD16" s="161">
        <v>0.1971</v>
      </c>
      <c r="CE16" s="162">
        <v>0.1971</v>
      </c>
      <c r="CF16" s="151"/>
      <c r="CG16" s="151"/>
      <c r="CH16" s="152"/>
      <c r="CI16" s="151"/>
      <c r="CJ16" s="151"/>
      <c r="CK16" s="151"/>
      <c r="CL16" s="151"/>
      <c r="CM16" s="153"/>
      <c r="CN16" s="153"/>
      <c r="CO16" s="153"/>
      <c r="CP16" s="154"/>
      <c r="CQ16" s="154"/>
      <c r="CR16" s="155"/>
      <c r="CS16" s="155"/>
      <c r="CT16" s="155"/>
      <c r="CU16" s="155"/>
      <c r="CV16" s="155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</row>
    <row r="17" spans="1:112" s="143" customFormat="1" x14ac:dyDescent="0.25">
      <c r="A17" s="164">
        <f t="shared" si="10"/>
        <v>8</v>
      </c>
      <c r="B17" s="159">
        <v>296</v>
      </c>
      <c r="C17" s="159" t="str">
        <f>INDEX(tech!$I$4:$J$24,MATCH('Data table'!B17,tech!$B$4:$B$24,0),1)</f>
        <v>ОТП Банк</v>
      </c>
      <c r="D17" s="159" t="str">
        <f>INDEX(tech!$I$4:$J$24,MATCH('Data table'!B17,tech!$B$4:$B$24,0),2)</f>
        <v>Банки іноземних банківських груп</v>
      </c>
      <c r="E17" s="160">
        <v>18818</v>
      </c>
      <c r="F17" s="160">
        <v>18818</v>
      </c>
      <c r="G17" s="160">
        <v>18818</v>
      </c>
      <c r="H17" s="163">
        <v>0.39379999999999998</v>
      </c>
      <c r="I17" s="163">
        <v>0.39379999999999998</v>
      </c>
      <c r="J17" s="163">
        <v>0.39379999999999998</v>
      </c>
      <c r="K17" s="160">
        <v>47789</v>
      </c>
      <c r="L17" s="160">
        <v>18787</v>
      </c>
      <c r="M17" s="160">
        <v>18787</v>
      </c>
      <c r="N17" s="160">
        <v>18787</v>
      </c>
      <c r="O17" s="163">
        <v>0.39250000000000002</v>
      </c>
      <c r="P17" s="163">
        <v>0.39250000000000002</v>
      </c>
      <c r="Q17" s="163">
        <v>0.39250000000000002</v>
      </c>
      <c r="R17" s="160">
        <v>47862</v>
      </c>
      <c r="S17" s="169" t="str">
        <f t="shared" si="9"/>
        <v>ні</v>
      </c>
      <c r="T17" s="160">
        <v>18787</v>
      </c>
      <c r="U17" s="160">
        <v>18787</v>
      </c>
      <c r="V17" s="160">
        <v>18787</v>
      </c>
      <c r="W17" s="163">
        <v>0.39250000000000002</v>
      </c>
      <c r="X17" s="163">
        <v>0.39250000000000002</v>
      </c>
      <c r="Y17" s="163">
        <v>0.39250000000000002</v>
      </c>
      <c r="Z17" s="160">
        <v>47862</v>
      </c>
      <c r="AA17" s="160">
        <v>22863</v>
      </c>
      <c r="AB17" s="160">
        <v>26707</v>
      </c>
      <c r="AC17" s="160">
        <v>29820</v>
      </c>
      <c r="AD17" s="160">
        <v>22863</v>
      </c>
      <c r="AE17" s="160">
        <v>26707</v>
      </c>
      <c r="AF17" s="160">
        <v>29820</v>
      </c>
      <c r="AG17" s="160">
        <v>22863</v>
      </c>
      <c r="AH17" s="160">
        <v>26707</v>
      </c>
      <c r="AI17" s="160">
        <v>29820</v>
      </c>
      <c r="AJ17" s="163">
        <v>0.46100000000000002</v>
      </c>
      <c r="AK17" s="163">
        <v>0.5302</v>
      </c>
      <c r="AL17" s="163">
        <v>0.60109999999999997</v>
      </c>
      <c r="AM17" s="163">
        <v>0.46100000000000002</v>
      </c>
      <c r="AN17" s="163">
        <v>0.5302</v>
      </c>
      <c r="AO17" s="163">
        <v>0.60109999999999997</v>
      </c>
      <c r="AP17" s="163">
        <v>0.46100000000000002</v>
      </c>
      <c r="AQ17" s="163">
        <v>0.5302</v>
      </c>
      <c r="AR17" s="163">
        <v>0.60109999999999997</v>
      </c>
      <c r="AS17" s="160">
        <v>49593</v>
      </c>
      <c r="AT17" s="160">
        <v>50372</v>
      </c>
      <c r="AU17" s="160">
        <v>49605</v>
      </c>
      <c r="AV17" s="160">
        <v>21728</v>
      </c>
      <c r="AW17" s="160">
        <v>24505</v>
      </c>
      <c r="AX17" s="160">
        <v>28108</v>
      </c>
      <c r="AY17" s="160">
        <v>21728</v>
      </c>
      <c r="AZ17" s="160">
        <v>24505</v>
      </c>
      <c r="BA17" s="160">
        <v>28108</v>
      </c>
      <c r="BB17" s="160">
        <v>21728</v>
      </c>
      <c r="BC17" s="160">
        <v>24505</v>
      </c>
      <c r="BD17" s="160">
        <v>28108</v>
      </c>
      <c r="BE17" s="161">
        <v>0.43509999999999999</v>
      </c>
      <c r="BF17" s="161">
        <v>0.4829</v>
      </c>
      <c r="BG17" s="161">
        <v>0.55889999999999995</v>
      </c>
      <c r="BH17" s="161">
        <v>0.43509999999999999</v>
      </c>
      <c r="BI17" s="161">
        <v>0.4829</v>
      </c>
      <c r="BJ17" s="161">
        <v>0.55889999999999995</v>
      </c>
      <c r="BK17" s="162">
        <v>0.43509999999999999</v>
      </c>
      <c r="BL17" s="162">
        <v>0.4829</v>
      </c>
      <c r="BM17" s="162">
        <v>0.55889999999999995</v>
      </c>
      <c r="BN17" s="160">
        <v>49935</v>
      </c>
      <c r="BO17" s="160">
        <v>50744</v>
      </c>
      <c r="BP17" s="160">
        <v>50289</v>
      </c>
      <c r="BQ17" s="163">
        <v>0.1</v>
      </c>
      <c r="BR17" s="163">
        <v>7.4999999999999997E-2</v>
      </c>
      <c r="BS17" s="162">
        <v>5.6250000000000001E-2</v>
      </c>
      <c r="BT17" s="163">
        <v>0.1</v>
      </c>
      <c r="BU17" s="163">
        <v>7.4999999999999997E-2</v>
      </c>
      <c r="BV17" s="162">
        <v>5.6250000000000001E-2</v>
      </c>
      <c r="BW17" s="163">
        <v>0.1</v>
      </c>
      <c r="BX17" s="163">
        <v>7.4999999999999997E-2</v>
      </c>
      <c r="BY17" s="162">
        <v>5.6250000000000001E-2</v>
      </c>
      <c r="BZ17" s="161">
        <v>0.1</v>
      </c>
      <c r="CA17" s="161">
        <v>7.4999999999999997E-2</v>
      </c>
      <c r="CB17" s="162">
        <v>5.6250000000000001E-2</v>
      </c>
      <c r="CC17" s="161">
        <v>0.28949999999999998</v>
      </c>
      <c r="CD17" s="161">
        <v>0.28949999999999998</v>
      </c>
      <c r="CE17" s="162">
        <v>0.28949999999999998</v>
      </c>
      <c r="CF17" s="151"/>
      <c r="CG17" s="151"/>
      <c r="CH17" s="152"/>
      <c r="CI17" s="151"/>
      <c r="CJ17" s="151"/>
      <c r="CK17" s="151"/>
      <c r="CL17" s="151"/>
      <c r="CM17" s="153"/>
      <c r="CN17" s="153"/>
      <c r="CO17" s="153"/>
      <c r="CP17" s="154"/>
      <c r="CQ17" s="155"/>
      <c r="CR17" s="155"/>
      <c r="CS17" s="155"/>
      <c r="CT17" s="155"/>
      <c r="CU17" s="155"/>
      <c r="CV17" s="155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</row>
    <row r="18" spans="1:112" s="143" customFormat="1" x14ac:dyDescent="0.25">
      <c r="A18" s="164">
        <f t="shared" si="10"/>
        <v>9</v>
      </c>
      <c r="B18" s="159">
        <v>171</v>
      </c>
      <c r="C18" s="159" t="str">
        <f>INDEX(tech!$I$4:$J$24,MATCH('Data table'!B18,tech!$B$4:$B$24,0),1)</f>
        <v>Креді Агріколь Банк</v>
      </c>
      <c r="D18" s="159" t="str">
        <f>INDEX(tech!$I$4:$J$24,MATCH('Data table'!B18,tech!$B$4:$B$24,0),2)</f>
        <v>Банки іноземних банківських груп</v>
      </c>
      <c r="E18" s="160">
        <v>8176</v>
      </c>
      <c r="F18" s="160">
        <v>8176</v>
      </c>
      <c r="G18" s="160">
        <v>8323</v>
      </c>
      <c r="H18" s="163">
        <v>0.2014</v>
      </c>
      <c r="I18" s="163">
        <v>0.1978</v>
      </c>
      <c r="J18" s="163">
        <v>0.1978</v>
      </c>
      <c r="K18" s="160">
        <v>41337</v>
      </c>
      <c r="L18" s="160">
        <v>8200</v>
      </c>
      <c r="M18" s="160">
        <v>8200</v>
      </c>
      <c r="N18" s="160">
        <v>8347</v>
      </c>
      <c r="O18" s="163">
        <v>0.2021</v>
      </c>
      <c r="P18" s="163">
        <v>0.19850000000000001</v>
      </c>
      <c r="Q18" s="163">
        <v>0.19850000000000001</v>
      </c>
      <c r="R18" s="160">
        <v>41310</v>
      </c>
      <c r="S18" s="169" t="str">
        <f t="shared" si="9"/>
        <v>ні</v>
      </c>
      <c r="T18" s="160">
        <v>8200</v>
      </c>
      <c r="U18" s="160">
        <v>8200</v>
      </c>
      <c r="V18" s="160">
        <v>8347</v>
      </c>
      <c r="W18" s="163">
        <v>0.2021</v>
      </c>
      <c r="X18" s="163">
        <v>0.19850000000000001</v>
      </c>
      <c r="Y18" s="163">
        <v>0.19850000000000001</v>
      </c>
      <c r="Z18" s="160">
        <v>41310</v>
      </c>
      <c r="AA18" s="160">
        <v>16599</v>
      </c>
      <c r="AB18" s="160">
        <v>19995</v>
      </c>
      <c r="AC18" s="160">
        <v>22757</v>
      </c>
      <c r="AD18" s="160">
        <v>16599</v>
      </c>
      <c r="AE18" s="160">
        <v>19995</v>
      </c>
      <c r="AF18" s="160">
        <v>22757</v>
      </c>
      <c r="AG18" s="160">
        <v>16666</v>
      </c>
      <c r="AH18" s="160">
        <v>19995</v>
      </c>
      <c r="AI18" s="160">
        <v>22757</v>
      </c>
      <c r="AJ18" s="163">
        <v>0.37280000000000002</v>
      </c>
      <c r="AK18" s="163">
        <v>0.42920000000000003</v>
      </c>
      <c r="AL18" s="163">
        <v>0.49180000000000001</v>
      </c>
      <c r="AM18" s="163">
        <v>0.37130000000000002</v>
      </c>
      <c r="AN18" s="163">
        <v>0.42920000000000003</v>
      </c>
      <c r="AO18" s="163">
        <v>0.49180000000000001</v>
      </c>
      <c r="AP18" s="163">
        <v>0.37130000000000002</v>
      </c>
      <c r="AQ18" s="163">
        <v>0.42920000000000003</v>
      </c>
      <c r="AR18" s="163">
        <v>0.49180000000000001</v>
      </c>
      <c r="AS18" s="160">
        <v>44707</v>
      </c>
      <c r="AT18" s="160">
        <v>46589</v>
      </c>
      <c r="AU18" s="160">
        <v>46273</v>
      </c>
      <c r="AV18" s="160">
        <v>15986</v>
      </c>
      <c r="AW18" s="160">
        <v>18865</v>
      </c>
      <c r="AX18" s="160">
        <v>22186</v>
      </c>
      <c r="AY18" s="160">
        <v>15986</v>
      </c>
      <c r="AZ18" s="160">
        <v>18865</v>
      </c>
      <c r="BA18" s="160">
        <v>22186</v>
      </c>
      <c r="BB18" s="160">
        <v>16058</v>
      </c>
      <c r="BC18" s="160">
        <v>18865</v>
      </c>
      <c r="BD18" s="160">
        <v>22186</v>
      </c>
      <c r="BE18" s="161">
        <v>0.35220000000000001</v>
      </c>
      <c r="BF18" s="161">
        <v>0.39119999999999999</v>
      </c>
      <c r="BG18" s="161">
        <v>0.45979999999999999</v>
      </c>
      <c r="BH18" s="161">
        <v>0.35060000000000002</v>
      </c>
      <c r="BI18" s="161">
        <v>0.39119999999999999</v>
      </c>
      <c r="BJ18" s="161">
        <v>0.45979999999999999</v>
      </c>
      <c r="BK18" s="162">
        <v>0.35060000000000002</v>
      </c>
      <c r="BL18" s="162">
        <v>0.39119999999999999</v>
      </c>
      <c r="BM18" s="162">
        <v>0.45979999999999999</v>
      </c>
      <c r="BN18" s="160">
        <v>45597</v>
      </c>
      <c r="BO18" s="160">
        <v>48217</v>
      </c>
      <c r="BP18" s="160">
        <v>48249</v>
      </c>
      <c r="BQ18" s="163">
        <v>0.1</v>
      </c>
      <c r="BR18" s="163">
        <v>7.4999999999999997E-2</v>
      </c>
      <c r="BS18" s="162">
        <v>5.6250000000000001E-2</v>
      </c>
      <c r="BT18" s="163">
        <v>0.1</v>
      </c>
      <c r="BU18" s="163">
        <v>7.4999999999999997E-2</v>
      </c>
      <c r="BV18" s="162">
        <v>5.6250000000000001E-2</v>
      </c>
      <c r="BW18" s="163">
        <v>0.1</v>
      </c>
      <c r="BX18" s="163">
        <v>7.4999999999999997E-2</v>
      </c>
      <c r="BY18" s="162">
        <v>5.6250000000000001E-2</v>
      </c>
      <c r="BZ18" s="161">
        <v>0.1</v>
      </c>
      <c r="CA18" s="161">
        <v>7.4999999999999997E-2</v>
      </c>
      <c r="CB18" s="162">
        <v>5.6250000000000001E-2</v>
      </c>
      <c r="CC18" s="161">
        <v>0.19159999999999999</v>
      </c>
      <c r="CD18" s="161">
        <v>0.1903</v>
      </c>
      <c r="CE18" s="162">
        <v>0.1903</v>
      </c>
      <c r="CF18" s="151"/>
      <c r="CG18" s="151"/>
      <c r="CH18" s="152"/>
      <c r="CI18" s="151"/>
      <c r="CJ18" s="151"/>
      <c r="CK18" s="151"/>
      <c r="CL18" s="151"/>
      <c r="CM18" s="153"/>
      <c r="CN18" s="153"/>
      <c r="CO18" s="153"/>
      <c r="CP18" s="154"/>
      <c r="CQ18" s="155"/>
      <c r="CR18" s="155"/>
      <c r="CS18" s="155"/>
      <c r="CT18" s="155"/>
      <c r="CU18" s="155"/>
      <c r="CV18" s="155"/>
      <c r="CW18" s="156"/>
      <c r="CX18" s="156"/>
      <c r="CY18" s="156"/>
      <c r="CZ18" s="156"/>
      <c r="DA18" s="156"/>
      <c r="DB18" s="156"/>
      <c r="DC18" s="156"/>
      <c r="DD18" s="156"/>
      <c r="DE18" s="156"/>
      <c r="DF18" s="156"/>
      <c r="DG18" s="156"/>
      <c r="DH18" s="156"/>
    </row>
    <row r="19" spans="1:112" s="143" customFormat="1" x14ac:dyDescent="0.25">
      <c r="A19" s="164">
        <f t="shared" si="10"/>
        <v>10</v>
      </c>
      <c r="B19" s="159">
        <v>298</v>
      </c>
      <c r="C19" s="159" t="str">
        <f>INDEX(tech!$I$4:$J$24,MATCH('Data table'!B19,tech!$B$4:$B$24,0),1)</f>
        <v>Прокредит Банк</v>
      </c>
      <c r="D19" s="159" t="str">
        <f>INDEX(tech!$I$4:$J$24,MATCH('Data table'!B19,tech!$B$4:$B$24,0),2)</f>
        <v>Банки іноземних банківських груп</v>
      </c>
      <c r="E19" s="160">
        <v>3263</v>
      </c>
      <c r="F19" s="160">
        <v>3263</v>
      </c>
      <c r="G19" s="160">
        <v>4211</v>
      </c>
      <c r="H19" s="163">
        <v>0.2029</v>
      </c>
      <c r="I19" s="163">
        <v>0.15720000000000001</v>
      </c>
      <c r="J19" s="163">
        <v>0.15720000000000001</v>
      </c>
      <c r="K19" s="160">
        <v>20752</v>
      </c>
      <c r="L19" s="160">
        <v>3083</v>
      </c>
      <c r="M19" s="160">
        <v>3083</v>
      </c>
      <c r="N19" s="160">
        <v>4031</v>
      </c>
      <c r="O19" s="163">
        <v>0.19320000000000001</v>
      </c>
      <c r="P19" s="163">
        <v>0.14779999999999999</v>
      </c>
      <c r="Q19" s="163">
        <v>0.14779999999999999</v>
      </c>
      <c r="R19" s="160">
        <v>20864</v>
      </c>
      <c r="S19" s="169" t="str">
        <f t="shared" si="9"/>
        <v>ні</v>
      </c>
      <c r="T19" s="160">
        <v>3083</v>
      </c>
      <c r="U19" s="160">
        <v>3083</v>
      </c>
      <c r="V19" s="160">
        <v>4031</v>
      </c>
      <c r="W19" s="163">
        <v>0.19320000000000001</v>
      </c>
      <c r="X19" s="163">
        <v>0.14779999999999999</v>
      </c>
      <c r="Y19" s="163">
        <v>0.14779999999999999</v>
      </c>
      <c r="Z19" s="160">
        <v>20864</v>
      </c>
      <c r="AA19" s="160">
        <v>3784</v>
      </c>
      <c r="AB19" s="160">
        <v>4458</v>
      </c>
      <c r="AC19" s="160">
        <v>4950</v>
      </c>
      <c r="AD19" s="160">
        <v>3784</v>
      </c>
      <c r="AE19" s="160">
        <v>4458</v>
      </c>
      <c r="AF19" s="160">
        <v>4950</v>
      </c>
      <c r="AG19" s="160">
        <v>4732</v>
      </c>
      <c r="AH19" s="160">
        <v>5407</v>
      </c>
      <c r="AI19" s="160">
        <v>5898</v>
      </c>
      <c r="AJ19" s="163">
        <v>0.21679999999999999</v>
      </c>
      <c r="AK19" s="163">
        <v>0.24060000000000001</v>
      </c>
      <c r="AL19" s="163">
        <v>0.26319999999999999</v>
      </c>
      <c r="AM19" s="163">
        <v>0.1734</v>
      </c>
      <c r="AN19" s="163">
        <v>0.19839999999999999</v>
      </c>
      <c r="AO19" s="163">
        <v>0.22090000000000001</v>
      </c>
      <c r="AP19" s="163">
        <v>0.1734</v>
      </c>
      <c r="AQ19" s="163">
        <v>0.19839999999999999</v>
      </c>
      <c r="AR19" s="163">
        <v>0.22090000000000001</v>
      </c>
      <c r="AS19" s="160">
        <v>21823</v>
      </c>
      <c r="AT19" s="160">
        <v>22473</v>
      </c>
      <c r="AU19" s="160">
        <v>22407</v>
      </c>
      <c r="AV19" s="160">
        <v>3486</v>
      </c>
      <c r="AW19" s="160">
        <v>3688</v>
      </c>
      <c r="AX19" s="160">
        <v>4133</v>
      </c>
      <c r="AY19" s="160">
        <v>3486</v>
      </c>
      <c r="AZ19" s="160">
        <v>3688</v>
      </c>
      <c r="BA19" s="160">
        <v>4133</v>
      </c>
      <c r="BB19" s="160">
        <v>4434</v>
      </c>
      <c r="BC19" s="160">
        <v>4636</v>
      </c>
      <c r="BD19" s="160">
        <v>5081</v>
      </c>
      <c r="BE19" s="161">
        <v>0.1983</v>
      </c>
      <c r="BF19" s="161">
        <v>0.1983</v>
      </c>
      <c r="BG19" s="161">
        <v>0.21679999999999999</v>
      </c>
      <c r="BH19" s="161">
        <v>0.15590000000000001</v>
      </c>
      <c r="BI19" s="161">
        <v>0.1578</v>
      </c>
      <c r="BJ19" s="161">
        <v>0.17630000000000001</v>
      </c>
      <c r="BK19" s="162">
        <v>0.15590000000000001</v>
      </c>
      <c r="BL19" s="162">
        <v>0.1578</v>
      </c>
      <c r="BM19" s="162">
        <v>0.17630000000000001</v>
      </c>
      <c r="BN19" s="160">
        <v>22360</v>
      </c>
      <c r="BO19" s="160">
        <v>23374</v>
      </c>
      <c r="BP19" s="160">
        <v>23435</v>
      </c>
      <c r="BQ19" s="163">
        <v>0.1</v>
      </c>
      <c r="BR19" s="163">
        <v>7.4999999999999997E-2</v>
      </c>
      <c r="BS19" s="162">
        <v>5.6250000000000001E-2</v>
      </c>
      <c r="BT19" s="163">
        <v>0.1</v>
      </c>
      <c r="BU19" s="163">
        <v>7.4999999999999997E-2</v>
      </c>
      <c r="BV19" s="162">
        <v>5.6250000000000001E-2</v>
      </c>
      <c r="BW19" s="163">
        <v>0.1</v>
      </c>
      <c r="BX19" s="163">
        <v>7.4999999999999997E-2</v>
      </c>
      <c r="BY19" s="162">
        <v>5.6250000000000001E-2</v>
      </c>
      <c r="BZ19" s="161">
        <v>0.1</v>
      </c>
      <c r="CA19" s="161">
        <v>7.4999999999999997E-2</v>
      </c>
      <c r="CB19" s="162">
        <v>5.6250000000000001E-2</v>
      </c>
      <c r="CC19" s="161">
        <v>0.16439999999999999</v>
      </c>
      <c r="CD19" s="161">
        <v>0.16170000000000001</v>
      </c>
      <c r="CE19" s="162">
        <v>0.16170000000000001</v>
      </c>
      <c r="CF19" s="151"/>
      <c r="CG19" s="151"/>
      <c r="CH19" s="152"/>
      <c r="CI19" s="151"/>
      <c r="CJ19" s="151"/>
      <c r="CK19" s="151"/>
      <c r="CL19" s="151"/>
      <c r="CM19" s="153"/>
      <c r="CN19" s="153"/>
      <c r="CO19" s="153"/>
      <c r="CP19" s="154"/>
      <c r="CQ19" s="155"/>
      <c r="CR19" s="155"/>
      <c r="CS19" s="155"/>
      <c r="CT19" s="155"/>
      <c r="CU19" s="155"/>
      <c r="CV19" s="155"/>
      <c r="CW19" s="156"/>
      <c r="CX19" s="156"/>
      <c r="CY19" s="156"/>
      <c r="CZ19" s="156"/>
      <c r="DA19" s="156"/>
      <c r="DB19" s="156"/>
      <c r="DC19" s="156"/>
      <c r="DD19" s="156"/>
      <c r="DE19" s="156"/>
      <c r="DF19" s="156"/>
      <c r="DG19" s="156"/>
      <c r="DH19" s="156"/>
    </row>
    <row r="20" spans="1:112" s="143" customFormat="1" x14ac:dyDescent="0.25">
      <c r="A20" s="164">
        <f t="shared" si="10"/>
        <v>11</v>
      </c>
      <c r="B20" s="159">
        <v>88</v>
      </c>
      <c r="C20" s="159" t="str">
        <f>INDEX(tech!$I$4:$J$24,MATCH('Data table'!B20,tech!$B$4:$B$24,0),1)</f>
        <v>Кредобанк</v>
      </c>
      <c r="D20" s="159" t="str">
        <f>INDEX(tech!$I$4:$J$24,MATCH('Data table'!B20,tech!$B$4:$B$24,0),2)</f>
        <v>Банки іноземних банківських груп</v>
      </c>
      <c r="E20" s="160">
        <v>5771</v>
      </c>
      <c r="F20" s="160">
        <v>5771</v>
      </c>
      <c r="G20" s="160">
        <v>5771</v>
      </c>
      <c r="H20" s="163">
        <v>0.30220000000000002</v>
      </c>
      <c r="I20" s="163">
        <v>0.30220000000000002</v>
      </c>
      <c r="J20" s="163">
        <v>0.30220000000000002</v>
      </c>
      <c r="K20" s="160">
        <v>19099</v>
      </c>
      <c r="L20" s="160">
        <v>5478</v>
      </c>
      <c r="M20" s="160">
        <v>5478</v>
      </c>
      <c r="N20" s="160">
        <v>5478</v>
      </c>
      <c r="O20" s="163">
        <v>0.2928</v>
      </c>
      <c r="P20" s="163">
        <v>0.2928</v>
      </c>
      <c r="Q20" s="163">
        <v>0.2928</v>
      </c>
      <c r="R20" s="160">
        <v>18709</v>
      </c>
      <c r="S20" s="169" t="str">
        <f t="shared" si="9"/>
        <v>ні</v>
      </c>
      <c r="T20" s="160">
        <v>5478</v>
      </c>
      <c r="U20" s="160">
        <v>5478</v>
      </c>
      <c r="V20" s="160">
        <v>5478</v>
      </c>
      <c r="W20" s="163">
        <v>0.2928</v>
      </c>
      <c r="X20" s="163">
        <v>0.2928</v>
      </c>
      <c r="Y20" s="163">
        <v>0.2928</v>
      </c>
      <c r="Z20" s="160">
        <v>18709</v>
      </c>
      <c r="AA20" s="160">
        <v>6747</v>
      </c>
      <c r="AB20" s="160">
        <v>7753</v>
      </c>
      <c r="AC20" s="160">
        <v>8328</v>
      </c>
      <c r="AD20" s="160">
        <v>6747</v>
      </c>
      <c r="AE20" s="160">
        <v>7753</v>
      </c>
      <c r="AF20" s="160">
        <v>8328</v>
      </c>
      <c r="AG20" s="160">
        <v>6747</v>
      </c>
      <c r="AH20" s="160">
        <v>7753</v>
      </c>
      <c r="AI20" s="160">
        <v>8328</v>
      </c>
      <c r="AJ20" s="163">
        <v>0.3372</v>
      </c>
      <c r="AK20" s="163">
        <v>0.37590000000000001</v>
      </c>
      <c r="AL20" s="163">
        <v>0.40670000000000001</v>
      </c>
      <c r="AM20" s="163">
        <v>0.3372</v>
      </c>
      <c r="AN20" s="163">
        <v>0.37590000000000001</v>
      </c>
      <c r="AO20" s="163">
        <v>0.40670000000000001</v>
      </c>
      <c r="AP20" s="163">
        <v>0.3372</v>
      </c>
      <c r="AQ20" s="163">
        <v>0.37590000000000001</v>
      </c>
      <c r="AR20" s="163">
        <v>0.40670000000000001</v>
      </c>
      <c r="AS20" s="160">
        <v>20009</v>
      </c>
      <c r="AT20" s="160">
        <v>20623</v>
      </c>
      <c r="AU20" s="160">
        <v>20477</v>
      </c>
      <c r="AV20" s="160">
        <v>6239</v>
      </c>
      <c r="AW20" s="160">
        <v>6596</v>
      </c>
      <c r="AX20" s="160">
        <v>7304</v>
      </c>
      <c r="AY20" s="160">
        <v>6239</v>
      </c>
      <c r="AZ20" s="160">
        <v>6596</v>
      </c>
      <c r="BA20" s="160">
        <v>7304</v>
      </c>
      <c r="BB20" s="160">
        <v>6239</v>
      </c>
      <c r="BC20" s="160">
        <v>6596</v>
      </c>
      <c r="BD20" s="160">
        <v>7304</v>
      </c>
      <c r="BE20" s="161">
        <v>0.31090000000000001</v>
      </c>
      <c r="BF20" s="161">
        <v>0.32140000000000002</v>
      </c>
      <c r="BG20" s="161">
        <v>0.36199999999999999</v>
      </c>
      <c r="BH20" s="161">
        <v>0.31090000000000001</v>
      </c>
      <c r="BI20" s="161">
        <v>0.32140000000000002</v>
      </c>
      <c r="BJ20" s="161">
        <v>0.36199999999999999</v>
      </c>
      <c r="BK20" s="162">
        <v>0.31090000000000001</v>
      </c>
      <c r="BL20" s="162">
        <v>0.32140000000000002</v>
      </c>
      <c r="BM20" s="162">
        <v>0.36199999999999999</v>
      </c>
      <c r="BN20" s="160">
        <v>20069</v>
      </c>
      <c r="BO20" s="160">
        <v>20522</v>
      </c>
      <c r="BP20" s="160">
        <v>20177</v>
      </c>
      <c r="BQ20" s="163">
        <v>0.1</v>
      </c>
      <c r="BR20" s="163">
        <v>7.4999999999999997E-2</v>
      </c>
      <c r="BS20" s="162">
        <v>5.6250000000000001E-2</v>
      </c>
      <c r="BT20" s="163">
        <v>0.1</v>
      </c>
      <c r="BU20" s="163">
        <v>7.4999999999999997E-2</v>
      </c>
      <c r="BV20" s="162">
        <v>5.6250000000000001E-2</v>
      </c>
      <c r="BW20" s="163">
        <v>0.1</v>
      </c>
      <c r="BX20" s="163">
        <v>7.4999999999999997E-2</v>
      </c>
      <c r="BY20" s="162">
        <v>5.6250000000000001E-2</v>
      </c>
      <c r="BZ20" s="161">
        <v>0.1</v>
      </c>
      <c r="CA20" s="161">
        <v>7.4999999999999997E-2</v>
      </c>
      <c r="CB20" s="162">
        <v>5.6250000000000001E-2</v>
      </c>
      <c r="CC20" s="161">
        <v>0.23519999999999999</v>
      </c>
      <c r="CD20" s="161">
        <v>0.23519999999999999</v>
      </c>
      <c r="CE20" s="162">
        <v>0.23519999999999999</v>
      </c>
      <c r="CF20" s="151"/>
      <c r="CG20" s="151"/>
      <c r="CH20" s="152"/>
      <c r="CI20" s="151"/>
      <c r="CJ20" s="151"/>
      <c r="CK20" s="151"/>
      <c r="CL20" s="151"/>
      <c r="CM20" s="153"/>
      <c r="CN20" s="153"/>
      <c r="CO20" s="153"/>
      <c r="CP20" s="154"/>
      <c r="CQ20" s="155"/>
      <c r="CR20" s="155"/>
      <c r="CS20" s="155"/>
      <c r="CT20" s="155"/>
      <c r="CU20" s="155"/>
      <c r="CV20" s="155"/>
      <c r="CW20" s="156"/>
      <c r="CX20" s="156"/>
      <c r="CY20" s="156"/>
      <c r="CZ20" s="156"/>
      <c r="DA20" s="156"/>
      <c r="DB20" s="156"/>
      <c r="DC20" s="156"/>
      <c r="DD20" s="156"/>
      <c r="DE20" s="156"/>
      <c r="DF20" s="156"/>
      <c r="DG20" s="156"/>
      <c r="DH20" s="156"/>
    </row>
    <row r="21" spans="1:112" s="143" customFormat="1" x14ac:dyDescent="0.25">
      <c r="A21" s="164">
        <f t="shared" si="10"/>
        <v>12</v>
      </c>
      <c r="B21" s="159">
        <v>153</v>
      </c>
      <c r="C21" s="159" t="str">
        <f>INDEX(tech!$I$4:$J$24,MATCH('Data table'!B21,tech!$B$4:$B$24,0),1)</f>
        <v>Правекс Банк</v>
      </c>
      <c r="D21" s="159" t="str">
        <f>INDEX(tech!$I$4:$J$24,MATCH('Data table'!B21,tech!$B$4:$B$24,0),2)</f>
        <v>Банки іноземних банківських груп</v>
      </c>
      <c r="E21" s="160">
        <v>1560</v>
      </c>
      <c r="F21" s="160">
        <v>1560</v>
      </c>
      <c r="G21" s="160">
        <v>1562</v>
      </c>
      <c r="H21" s="163">
        <v>0.38800000000000001</v>
      </c>
      <c r="I21" s="163">
        <v>0.38769999999999999</v>
      </c>
      <c r="J21" s="163">
        <v>0.38769999999999999</v>
      </c>
      <c r="K21" s="160">
        <v>4025</v>
      </c>
      <c r="L21" s="160">
        <v>1492</v>
      </c>
      <c r="M21" s="160">
        <v>1492</v>
      </c>
      <c r="N21" s="160">
        <v>1494</v>
      </c>
      <c r="O21" s="163">
        <v>0.36780000000000002</v>
      </c>
      <c r="P21" s="163">
        <v>0.3674</v>
      </c>
      <c r="Q21" s="163">
        <v>0.3674</v>
      </c>
      <c r="R21" s="160">
        <v>4062</v>
      </c>
      <c r="S21" s="169" t="str">
        <f t="shared" si="9"/>
        <v>ні</v>
      </c>
      <c r="T21" s="160">
        <v>1492</v>
      </c>
      <c r="U21" s="160">
        <v>1492</v>
      </c>
      <c r="V21" s="160">
        <v>1494</v>
      </c>
      <c r="W21" s="163">
        <v>0.36770000000000003</v>
      </c>
      <c r="X21" s="163">
        <v>0.36730000000000002</v>
      </c>
      <c r="Y21" s="163">
        <v>0.36730000000000002</v>
      </c>
      <c r="Z21" s="160">
        <v>4061</v>
      </c>
      <c r="AA21" s="160">
        <v>1235</v>
      </c>
      <c r="AB21" s="160">
        <v>880</v>
      </c>
      <c r="AC21" s="160">
        <v>429</v>
      </c>
      <c r="AD21" s="160">
        <v>1235</v>
      </c>
      <c r="AE21" s="160">
        <v>880</v>
      </c>
      <c r="AF21" s="160">
        <v>429</v>
      </c>
      <c r="AG21" s="160">
        <v>1237</v>
      </c>
      <c r="AH21" s="160">
        <v>881</v>
      </c>
      <c r="AI21" s="160">
        <v>431</v>
      </c>
      <c r="AJ21" s="163">
        <v>0.3049</v>
      </c>
      <c r="AK21" s="163">
        <v>0.2145</v>
      </c>
      <c r="AL21" s="163">
        <v>0.1041</v>
      </c>
      <c r="AM21" s="163">
        <v>0.30459999999999998</v>
      </c>
      <c r="AN21" s="163">
        <v>0.21410000000000001</v>
      </c>
      <c r="AO21" s="163">
        <v>0.1037</v>
      </c>
      <c r="AP21" s="163">
        <v>0.30459999999999998</v>
      </c>
      <c r="AQ21" s="163">
        <v>0.21410000000000001</v>
      </c>
      <c r="AR21" s="163">
        <v>0.1037</v>
      </c>
      <c r="AS21" s="160">
        <v>4055</v>
      </c>
      <c r="AT21" s="160">
        <v>4110</v>
      </c>
      <c r="AU21" s="160">
        <v>4137</v>
      </c>
      <c r="AV21" s="160">
        <v>1029</v>
      </c>
      <c r="AW21" s="160">
        <v>376</v>
      </c>
      <c r="AX21" s="160">
        <v>-80</v>
      </c>
      <c r="AY21" s="160">
        <v>1029</v>
      </c>
      <c r="AZ21" s="160">
        <v>376</v>
      </c>
      <c r="BA21" s="160">
        <v>-80</v>
      </c>
      <c r="BB21" s="160">
        <v>1030</v>
      </c>
      <c r="BC21" s="160">
        <v>377</v>
      </c>
      <c r="BD21" s="160">
        <v>-78</v>
      </c>
      <c r="BE21" s="161">
        <v>0.255</v>
      </c>
      <c r="BF21" s="161">
        <v>9.5399999999999999E-2</v>
      </c>
      <c r="BG21" s="161">
        <v>-1.9699999999999999E-2</v>
      </c>
      <c r="BH21" s="161">
        <v>0.25459999999999999</v>
      </c>
      <c r="BI21" s="161">
        <v>9.5000000000000001E-2</v>
      </c>
      <c r="BJ21" s="161">
        <v>-2.01E-2</v>
      </c>
      <c r="BK21" s="162">
        <v>0.25459999999999999</v>
      </c>
      <c r="BL21" s="162">
        <v>9.5000000000000001E-2</v>
      </c>
      <c r="BM21" s="162">
        <v>-2.01E-2</v>
      </c>
      <c r="BN21" s="160">
        <v>4041</v>
      </c>
      <c r="BO21" s="160">
        <v>3953</v>
      </c>
      <c r="BP21" s="160">
        <v>3967</v>
      </c>
      <c r="BQ21" s="163">
        <v>0.36359999999999998</v>
      </c>
      <c r="BR21" s="163">
        <v>0.33810000000000001</v>
      </c>
      <c r="BS21" s="163">
        <v>0.31900000000000001</v>
      </c>
      <c r="BT21" s="163">
        <v>0.2742</v>
      </c>
      <c r="BU21" s="163">
        <v>0.24790000000000001</v>
      </c>
      <c r="BV21" s="163">
        <v>0.2281</v>
      </c>
      <c r="BW21" s="163">
        <v>0.48459999999999998</v>
      </c>
      <c r="BX21" s="163">
        <v>0.4602</v>
      </c>
      <c r="BY21" s="163">
        <v>0.44190000000000002</v>
      </c>
      <c r="BZ21" s="163">
        <v>0.36980000000000002</v>
      </c>
      <c r="CA21" s="163">
        <v>0.34399999999999997</v>
      </c>
      <c r="CB21" s="163">
        <v>0.3246</v>
      </c>
      <c r="CC21" s="161">
        <v>0.36969999999999997</v>
      </c>
      <c r="CD21" s="161">
        <v>0.36940000000000001</v>
      </c>
      <c r="CE21" s="162">
        <v>0.36940000000000001</v>
      </c>
      <c r="CF21" s="151"/>
      <c r="CG21" s="151"/>
      <c r="CH21" s="152"/>
      <c r="CI21" s="151"/>
      <c r="CJ21" s="151"/>
      <c r="CK21" s="151"/>
      <c r="CL21" s="151"/>
      <c r="CM21" s="153"/>
      <c r="CN21" s="153"/>
      <c r="CO21" s="153"/>
      <c r="CP21" s="154"/>
      <c r="CQ21" s="155"/>
      <c r="CR21" s="155"/>
      <c r="CS21" s="155"/>
      <c r="CT21" s="155"/>
      <c r="CU21" s="155"/>
      <c r="CV21" s="155"/>
      <c r="CW21" s="156"/>
      <c r="CX21" s="156"/>
      <c r="CY21" s="156"/>
      <c r="CZ21" s="156"/>
      <c r="DA21" s="156"/>
      <c r="DB21" s="156"/>
      <c r="DC21" s="156"/>
      <c r="DD21" s="156"/>
      <c r="DE21" s="156"/>
      <c r="DF21" s="156"/>
      <c r="DG21" s="156"/>
      <c r="DH21" s="156"/>
    </row>
    <row r="22" spans="1:112" s="143" customFormat="1" x14ac:dyDescent="0.25">
      <c r="A22" s="164">
        <f t="shared" si="10"/>
        <v>13</v>
      </c>
      <c r="B22" s="159">
        <v>115</v>
      </c>
      <c r="C22" s="159" t="str">
        <f>INDEX(tech!$I$4:$J$24,MATCH('Data table'!B22,tech!$B$4:$B$24,0),1)</f>
        <v>ПУМБ</v>
      </c>
      <c r="D22" s="159" t="str">
        <f>INDEX(tech!$I$4:$J$24,MATCH('Data table'!B22,tech!$B$4:$B$24,0),2)</f>
        <v>Банки з приватним капіталом</v>
      </c>
      <c r="E22" s="160">
        <v>16997</v>
      </c>
      <c r="F22" s="160">
        <v>16997</v>
      </c>
      <c r="G22" s="160">
        <v>16997</v>
      </c>
      <c r="H22" s="163">
        <v>0.16270000000000001</v>
      </c>
      <c r="I22" s="163">
        <v>0.16270000000000001</v>
      </c>
      <c r="J22" s="163">
        <v>0.16270000000000001</v>
      </c>
      <c r="K22" s="160">
        <v>104476</v>
      </c>
      <c r="L22" s="160">
        <v>16376</v>
      </c>
      <c r="M22" s="160">
        <v>16376</v>
      </c>
      <c r="N22" s="160">
        <v>16376</v>
      </c>
      <c r="O22" s="163">
        <v>0.15670000000000001</v>
      </c>
      <c r="P22" s="163">
        <v>0.15670000000000001</v>
      </c>
      <c r="Q22" s="163">
        <v>0.15670000000000001</v>
      </c>
      <c r="R22" s="160">
        <v>104533</v>
      </c>
      <c r="S22" s="169" t="str">
        <f t="shared" si="9"/>
        <v>ні</v>
      </c>
      <c r="T22" s="160">
        <v>16376</v>
      </c>
      <c r="U22" s="160">
        <v>16376</v>
      </c>
      <c r="V22" s="160">
        <v>16376</v>
      </c>
      <c r="W22" s="163">
        <v>0.15670000000000001</v>
      </c>
      <c r="X22" s="163">
        <v>0.15670000000000001</v>
      </c>
      <c r="Y22" s="163">
        <v>0.15670000000000001</v>
      </c>
      <c r="Z22" s="160">
        <v>104533</v>
      </c>
      <c r="AA22" s="160">
        <v>21133</v>
      </c>
      <c r="AB22" s="160">
        <v>24261</v>
      </c>
      <c r="AC22" s="160">
        <v>26309</v>
      </c>
      <c r="AD22" s="160">
        <v>21133</v>
      </c>
      <c r="AE22" s="160">
        <v>24261</v>
      </c>
      <c r="AF22" s="160">
        <v>26309</v>
      </c>
      <c r="AG22" s="160">
        <v>21133</v>
      </c>
      <c r="AH22" s="160">
        <v>24261</v>
      </c>
      <c r="AI22" s="160">
        <v>26309</v>
      </c>
      <c r="AJ22" s="163">
        <v>0.1993</v>
      </c>
      <c r="AK22" s="163">
        <v>0.22539999999999999</v>
      </c>
      <c r="AL22" s="163">
        <v>0.24479999999999999</v>
      </c>
      <c r="AM22" s="163">
        <v>0.1993</v>
      </c>
      <c r="AN22" s="163">
        <v>0.22539999999999999</v>
      </c>
      <c r="AO22" s="163">
        <v>0.24479999999999999</v>
      </c>
      <c r="AP22" s="163">
        <v>0.1993</v>
      </c>
      <c r="AQ22" s="163">
        <v>0.22539999999999999</v>
      </c>
      <c r="AR22" s="163">
        <v>0.24479999999999999</v>
      </c>
      <c r="AS22" s="160">
        <v>106008</v>
      </c>
      <c r="AT22" s="160">
        <v>107628</v>
      </c>
      <c r="AU22" s="160">
        <v>107458</v>
      </c>
      <c r="AV22" s="160">
        <v>17541</v>
      </c>
      <c r="AW22" s="160">
        <v>17093</v>
      </c>
      <c r="AX22" s="160">
        <v>18666</v>
      </c>
      <c r="AY22" s="160">
        <v>17541</v>
      </c>
      <c r="AZ22" s="160">
        <v>17093</v>
      </c>
      <c r="BA22" s="160">
        <v>18666</v>
      </c>
      <c r="BB22" s="160">
        <v>17541</v>
      </c>
      <c r="BC22" s="160">
        <v>17093</v>
      </c>
      <c r="BD22" s="160">
        <v>18666</v>
      </c>
      <c r="BE22" s="161">
        <v>0.16500000000000001</v>
      </c>
      <c r="BF22" s="161">
        <v>0.15939999999999999</v>
      </c>
      <c r="BG22" s="161">
        <v>0.17549999999999999</v>
      </c>
      <c r="BH22" s="161">
        <v>0.16500000000000001</v>
      </c>
      <c r="BI22" s="161">
        <v>0.15939999999999999</v>
      </c>
      <c r="BJ22" s="161">
        <v>0.17549999999999999</v>
      </c>
      <c r="BK22" s="162">
        <v>0.16500000000000001</v>
      </c>
      <c r="BL22" s="162">
        <v>0.15939999999999999</v>
      </c>
      <c r="BM22" s="162">
        <v>0.17549999999999999</v>
      </c>
      <c r="BN22" s="160">
        <v>106283</v>
      </c>
      <c r="BO22" s="160">
        <v>107220</v>
      </c>
      <c r="BP22" s="160">
        <v>106374</v>
      </c>
      <c r="BQ22" s="163">
        <v>0.1</v>
      </c>
      <c r="BR22" s="163">
        <v>7.4999999999999997E-2</v>
      </c>
      <c r="BS22" s="162">
        <v>5.6250000000000001E-2</v>
      </c>
      <c r="BT22" s="163">
        <v>0.1</v>
      </c>
      <c r="BU22" s="163">
        <v>7.4999999999999997E-2</v>
      </c>
      <c r="BV22" s="162">
        <v>5.6250000000000001E-2</v>
      </c>
      <c r="BW22" s="163">
        <v>0.1</v>
      </c>
      <c r="BX22" s="163">
        <v>7.4999999999999997E-2</v>
      </c>
      <c r="BY22" s="162">
        <v>5.6250000000000001E-2</v>
      </c>
      <c r="BZ22" s="161">
        <v>0.1</v>
      </c>
      <c r="CA22" s="161">
        <v>7.4999999999999997E-2</v>
      </c>
      <c r="CB22" s="162">
        <v>5.6250000000000001E-2</v>
      </c>
      <c r="CC22" s="161">
        <v>0.1169</v>
      </c>
      <c r="CD22" s="161">
        <v>0.1169</v>
      </c>
      <c r="CE22" s="162">
        <v>0.1169</v>
      </c>
      <c r="CF22" s="151"/>
      <c r="CG22" s="151"/>
      <c r="CH22" s="152"/>
      <c r="CI22" s="151"/>
      <c r="CJ22" s="151"/>
      <c r="CK22" s="151"/>
      <c r="CL22" s="151"/>
      <c r="CM22" s="153"/>
      <c r="CN22" s="153"/>
      <c r="CO22" s="153"/>
      <c r="CP22" s="154"/>
      <c r="CQ22" s="155"/>
      <c r="CR22" s="155"/>
      <c r="CS22" s="155"/>
      <c r="CT22" s="155"/>
      <c r="CU22" s="155"/>
      <c r="CV22" s="155"/>
      <c r="CW22" s="156"/>
      <c r="CX22" s="156"/>
      <c r="CY22" s="156"/>
      <c r="CZ22" s="156"/>
      <c r="DA22" s="156"/>
      <c r="DB22" s="156"/>
      <c r="DC22" s="156"/>
      <c r="DD22" s="156"/>
      <c r="DE22" s="156"/>
      <c r="DF22" s="156"/>
      <c r="DG22" s="156"/>
      <c r="DH22" s="156"/>
    </row>
    <row r="23" spans="1:112" s="143" customFormat="1" x14ac:dyDescent="0.25">
      <c r="A23" s="164">
        <f t="shared" si="10"/>
        <v>14</v>
      </c>
      <c r="B23" s="159">
        <v>106</v>
      </c>
      <c r="C23" s="159" t="str">
        <f>INDEX(tech!$I$4:$J$24,MATCH('Data table'!B23,tech!$B$4:$B$24,0),1)</f>
        <v>Південний</v>
      </c>
      <c r="D23" s="159" t="str">
        <f>INDEX(tech!$I$4:$J$24,MATCH('Data table'!B23,tech!$B$4:$B$24,0),2)</f>
        <v>Банки з приватним капіталом</v>
      </c>
      <c r="E23" s="160">
        <v>6324</v>
      </c>
      <c r="F23" s="160">
        <v>6324</v>
      </c>
      <c r="G23" s="160">
        <v>6410</v>
      </c>
      <c r="H23" s="163">
        <v>0.17780000000000001</v>
      </c>
      <c r="I23" s="163">
        <v>0.1754</v>
      </c>
      <c r="J23" s="163">
        <v>0.1754</v>
      </c>
      <c r="K23" s="160">
        <v>36043</v>
      </c>
      <c r="L23" s="160">
        <v>6034</v>
      </c>
      <c r="M23" s="160">
        <v>6034</v>
      </c>
      <c r="N23" s="160">
        <v>6120</v>
      </c>
      <c r="O23" s="163">
        <v>0.16719999999999999</v>
      </c>
      <c r="P23" s="163">
        <v>0.1648</v>
      </c>
      <c r="Q23" s="163">
        <v>0.1648</v>
      </c>
      <c r="R23" s="160">
        <v>36614</v>
      </c>
      <c r="S23" s="169" t="str">
        <f t="shared" si="9"/>
        <v>ні</v>
      </c>
      <c r="T23" s="160">
        <v>6034</v>
      </c>
      <c r="U23" s="160">
        <v>6034</v>
      </c>
      <c r="V23" s="160">
        <v>6120</v>
      </c>
      <c r="W23" s="163">
        <v>0.16719999999999999</v>
      </c>
      <c r="X23" s="163">
        <v>0.1648</v>
      </c>
      <c r="Y23" s="163">
        <v>0.1648</v>
      </c>
      <c r="Z23" s="160">
        <v>36614</v>
      </c>
      <c r="AA23" s="160">
        <v>6844</v>
      </c>
      <c r="AB23" s="160">
        <v>7618</v>
      </c>
      <c r="AC23" s="160">
        <v>8090</v>
      </c>
      <c r="AD23" s="160">
        <v>6844</v>
      </c>
      <c r="AE23" s="160">
        <v>7618</v>
      </c>
      <c r="AF23" s="160">
        <v>8090</v>
      </c>
      <c r="AG23" s="160">
        <v>6908</v>
      </c>
      <c r="AH23" s="160">
        <v>7658</v>
      </c>
      <c r="AI23" s="160">
        <v>8102</v>
      </c>
      <c r="AJ23" s="163">
        <v>0.18210000000000001</v>
      </c>
      <c r="AK23" s="163">
        <v>0.19900000000000001</v>
      </c>
      <c r="AL23" s="163">
        <v>0.21229999999999999</v>
      </c>
      <c r="AM23" s="163">
        <v>0.1804</v>
      </c>
      <c r="AN23" s="163">
        <v>0.19789999999999999</v>
      </c>
      <c r="AO23" s="163">
        <v>0.21199999999999999</v>
      </c>
      <c r="AP23" s="163">
        <v>0.1804</v>
      </c>
      <c r="AQ23" s="163">
        <v>0.19789999999999999</v>
      </c>
      <c r="AR23" s="163">
        <v>0.21199999999999999</v>
      </c>
      <c r="AS23" s="160">
        <v>37942</v>
      </c>
      <c r="AT23" s="160">
        <v>38487</v>
      </c>
      <c r="AU23" s="160">
        <v>38156</v>
      </c>
      <c r="AV23" s="160">
        <v>6235</v>
      </c>
      <c r="AW23" s="160">
        <v>6164</v>
      </c>
      <c r="AX23" s="160">
        <v>6438</v>
      </c>
      <c r="AY23" s="160">
        <v>6235</v>
      </c>
      <c r="AZ23" s="160">
        <v>6164</v>
      </c>
      <c r="BA23" s="160">
        <v>6438</v>
      </c>
      <c r="BB23" s="160">
        <v>6305</v>
      </c>
      <c r="BC23" s="160">
        <v>6208</v>
      </c>
      <c r="BD23" s="160">
        <v>6452</v>
      </c>
      <c r="BE23" s="161">
        <v>0.16220000000000001</v>
      </c>
      <c r="BF23" s="161">
        <v>0.1552</v>
      </c>
      <c r="BG23" s="161">
        <v>0.16189999999999999</v>
      </c>
      <c r="BH23" s="161">
        <v>0.16039999999999999</v>
      </c>
      <c r="BI23" s="161">
        <v>0.15409999999999999</v>
      </c>
      <c r="BJ23" s="161">
        <v>0.16159999999999999</v>
      </c>
      <c r="BK23" s="162">
        <v>0.16039999999999999</v>
      </c>
      <c r="BL23" s="162">
        <v>0.15409999999999999</v>
      </c>
      <c r="BM23" s="162">
        <v>0.16159999999999999</v>
      </c>
      <c r="BN23" s="160">
        <v>38873</v>
      </c>
      <c r="BO23" s="160">
        <v>39994</v>
      </c>
      <c r="BP23" s="160">
        <v>39848</v>
      </c>
      <c r="BQ23" s="163">
        <v>0.1</v>
      </c>
      <c r="BR23" s="163">
        <v>7.4999999999999997E-2</v>
      </c>
      <c r="BS23" s="162">
        <v>5.6250000000000001E-2</v>
      </c>
      <c r="BT23" s="163">
        <v>0.1</v>
      </c>
      <c r="BU23" s="163">
        <v>7.4999999999999997E-2</v>
      </c>
      <c r="BV23" s="162">
        <v>5.6250000000000001E-2</v>
      </c>
      <c r="BW23" s="163">
        <v>0.1</v>
      </c>
      <c r="BX23" s="163">
        <v>7.4999999999999997E-2</v>
      </c>
      <c r="BY23" s="162">
        <v>5.6250000000000001E-2</v>
      </c>
      <c r="BZ23" s="161">
        <v>0.1</v>
      </c>
      <c r="CA23" s="161">
        <v>7.4999999999999997E-2</v>
      </c>
      <c r="CB23" s="162">
        <v>5.6250000000000001E-2</v>
      </c>
      <c r="CC23" s="161">
        <v>0.1265</v>
      </c>
      <c r="CD23" s="161">
        <v>0.12509999999999999</v>
      </c>
      <c r="CE23" s="162">
        <v>0.12509999999999999</v>
      </c>
      <c r="CF23" s="151"/>
      <c r="CG23" s="151"/>
      <c r="CH23" s="152"/>
      <c r="CI23" s="151"/>
      <c r="CJ23" s="151"/>
      <c r="CK23" s="151"/>
      <c r="CL23" s="151"/>
      <c r="CM23" s="153"/>
      <c r="CN23" s="153"/>
      <c r="CO23" s="153"/>
      <c r="CP23" s="154"/>
      <c r="CQ23" s="155"/>
      <c r="CR23" s="155"/>
      <c r="CS23" s="155"/>
      <c r="CT23" s="155"/>
      <c r="CU23" s="155"/>
      <c r="CV23" s="155"/>
      <c r="CW23" s="156"/>
      <c r="CX23" s="156"/>
      <c r="CY23" s="156"/>
      <c r="CZ23" s="156"/>
      <c r="DA23" s="156"/>
      <c r="DB23" s="156"/>
      <c r="DC23" s="156"/>
      <c r="DD23" s="156"/>
      <c r="DE23" s="156"/>
      <c r="DF23" s="156"/>
      <c r="DG23" s="156"/>
      <c r="DH23" s="156"/>
    </row>
    <row r="24" spans="1:112" s="143" customFormat="1" x14ac:dyDescent="0.25">
      <c r="A24" s="164">
        <f t="shared" si="10"/>
        <v>15</v>
      </c>
      <c r="B24" s="159">
        <v>62</v>
      </c>
      <c r="C24" s="159" t="str">
        <f>INDEX(tech!$I$4:$J$24,MATCH('Data table'!B24,tech!$B$4:$B$24,0),1)</f>
        <v>Таскомбанк</v>
      </c>
      <c r="D24" s="159" t="str">
        <f>INDEX(tech!$I$4:$J$24,MATCH('Data table'!B24,tech!$B$4:$B$24,0),2)</f>
        <v>Банки з приватним капіталом</v>
      </c>
      <c r="E24" s="160">
        <v>3117</v>
      </c>
      <c r="F24" s="160">
        <v>3117</v>
      </c>
      <c r="G24" s="160">
        <v>3117</v>
      </c>
      <c r="H24" s="163">
        <v>0.121</v>
      </c>
      <c r="I24" s="163">
        <v>0.121</v>
      </c>
      <c r="J24" s="163">
        <v>0.121</v>
      </c>
      <c r="K24" s="160">
        <v>25759</v>
      </c>
      <c r="L24" s="160">
        <v>2888</v>
      </c>
      <c r="M24" s="160">
        <v>2888</v>
      </c>
      <c r="N24" s="160">
        <v>2888</v>
      </c>
      <c r="O24" s="163">
        <v>0.113</v>
      </c>
      <c r="P24" s="163">
        <v>0.113</v>
      </c>
      <c r="Q24" s="163">
        <v>0.113</v>
      </c>
      <c r="R24" s="160">
        <v>25561</v>
      </c>
      <c r="S24" s="169" t="str">
        <f t="shared" si="9"/>
        <v>ні</v>
      </c>
      <c r="T24" s="160">
        <v>2888</v>
      </c>
      <c r="U24" s="160">
        <v>2888</v>
      </c>
      <c r="V24" s="160">
        <v>2888</v>
      </c>
      <c r="W24" s="163">
        <v>0.113</v>
      </c>
      <c r="X24" s="163">
        <v>0.113</v>
      </c>
      <c r="Y24" s="163">
        <v>0.113</v>
      </c>
      <c r="Z24" s="160">
        <v>25561</v>
      </c>
      <c r="AA24" s="160">
        <v>2545</v>
      </c>
      <c r="AB24" s="160">
        <v>2134</v>
      </c>
      <c r="AC24" s="160">
        <v>1525</v>
      </c>
      <c r="AD24" s="160">
        <v>2545</v>
      </c>
      <c r="AE24" s="160">
        <v>2134</v>
      </c>
      <c r="AF24" s="160">
        <v>1525</v>
      </c>
      <c r="AG24" s="160">
        <v>2545</v>
      </c>
      <c r="AH24" s="160">
        <v>2134</v>
      </c>
      <c r="AI24" s="160">
        <v>1525</v>
      </c>
      <c r="AJ24" s="163">
        <v>9.6699999999999994E-2</v>
      </c>
      <c r="AK24" s="163">
        <v>8.1900000000000001E-2</v>
      </c>
      <c r="AL24" s="163">
        <v>5.9499999999999997E-2</v>
      </c>
      <c r="AM24" s="163">
        <v>9.6699999999999994E-2</v>
      </c>
      <c r="AN24" s="163">
        <v>8.1900000000000001E-2</v>
      </c>
      <c r="AO24" s="163">
        <v>5.9499999999999997E-2</v>
      </c>
      <c r="AP24" s="163">
        <v>9.6699999999999994E-2</v>
      </c>
      <c r="AQ24" s="163">
        <v>8.1900000000000001E-2</v>
      </c>
      <c r="AR24" s="163">
        <v>5.9499999999999997E-2</v>
      </c>
      <c r="AS24" s="160">
        <v>26306</v>
      </c>
      <c r="AT24" s="160">
        <v>26052</v>
      </c>
      <c r="AU24" s="160">
        <v>25624</v>
      </c>
      <c r="AV24" s="160">
        <v>1705</v>
      </c>
      <c r="AW24" s="160">
        <v>5</v>
      </c>
      <c r="AX24" s="160">
        <v>-1024</v>
      </c>
      <c r="AY24" s="160">
        <v>1705</v>
      </c>
      <c r="AZ24" s="160">
        <v>5</v>
      </c>
      <c r="BA24" s="160">
        <v>-1024</v>
      </c>
      <c r="BB24" s="160">
        <v>1705</v>
      </c>
      <c r="BC24" s="160">
        <v>5</v>
      </c>
      <c r="BD24" s="160">
        <v>-1024</v>
      </c>
      <c r="BE24" s="161">
        <v>6.4100000000000004E-2</v>
      </c>
      <c r="BF24" s="161">
        <v>2.0000000000000001E-4</v>
      </c>
      <c r="BG24" s="161">
        <v>-3.9699999999999999E-2</v>
      </c>
      <c r="BH24" s="161">
        <v>6.4100000000000004E-2</v>
      </c>
      <c r="BI24" s="161">
        <v>2.0000000000000001E-4</v>
      </c>
      <c r="BJ24" s="161">
        <v>-3.9699999999999999E-2</v>
      </c>
      <c r="BK24" s="162">
        <v>6.4100000000000004E-2</v>
      </c>
      <c r="BL24" s="162">
        <v>2.0000000000000001E-4</v>
      </c>
      <c r="BM24" s="162">
        <v>-3.9699999999999999E-2</v>
      </c>
      <c r="BN24" s="160">
        <v>26594</v>
      </c>
      <c r="BO24" s="160">
        <v>26390</v>
      </c>
      <c r="BP24" s="160">
        <v>25809</v>
      </c>
      <c r="BQ24" s="163">
        <v>0.15359999999999999</v>
      </c>
      <c r="BR24" s="163">
        <v>0.1285</v>
      </c>
      <c r="BS24" s="163">
        <v>0.10970000000000001</v>
      </c>
      <c r="BT24" s="163">
        <v>0.1</v>
      </c>
      <c r="BU24" s="163">
        <v>7.4999999999999997E-2</v>
      </c>
      <c r="BV24" s="162">
        <v>5.6250000000000001E-2</v>
      </c>
      <c r="BW24" s="163">
        <v>0.254</v>
      </c>
      <c r="BX24" s="163">
        <v>0.2288</v>
      </c>
      <c r="BY24" s="163">
        <v>0.20979999999999999</v>
      </c>
      <c r="BZ24" s="163">
        <v>0.14319999999999999</v>
      </c>
      <c r="CA24" s="163">
        <v>0.1177</v>
      </c>
      <c r="CB24" s="163">
        <v>9.8599999999999993E-2</v>
      </c>
      <c r="CC24" s="161">
        <v>0.1106</v>
      </c>
      <c r="CD24" s="161">
        <v>0.1106</v>
      </c>
      <c r="CE24" s="162">
        <v>0.1106</v>
      </c>
      <c r="CF24" s="151"/>
      <c r="CG24" s="151"/>
      <c r="CH24" s="152"/>
      <c r="CI24" s="151"/>
      <c r="CJ24" s="151"/>
      <c r="CK24" s="151"/>
      <c r="CL24" s="151"/>
      <c r="CM24" s="153"/>
      <c r="CN24" s="153"/>
      <c r="CO24" s="153"/>
      <c r="CP24" s="154"/>
      <c r="CQ24" s="155"/>
      <c r="CR24" s="155"/>
      <c r="CS24" s="155"/>
      <c r="CT24" s="155"/>
      <c r="CU24" s="155"/>
      <c r="CV24" s="155"/>
      <c r="CW24" s="156"/>
      <c r="CX24" s="156"/>
      <c r="CY24" s="156"/>
      <c r="CZ24" s="156"/>
      <c r="DA24" s="156"/>
      <c r="DB24" s="156"/>
      <c r="DC24" s="156"/>
      <c r="DD24" s="156"/>
      <c r="DE24" s="156"/>
      <c r="DF24" s="156"/>
      <c r="DG24" s="156"/>
      <c r="DH24" s="156"/>
    </row>
    <row r="25" spans="1:112" s="143" customFormat="1" x14ac:dyDescent="0.25">
      <c r="A25" s="164">
        <f t="shared" si="10"/>
        <v>16</v>
      </c>
      <c r="B25" s="159">
        <v>242</v>
      </c>
      <c r="C25" s="159" t="str">
        <f>INDEX(tech!$I$4:$J$24,MATCH('Data table'!B25,tech!$B$4:$B$24,0),1)</f>
        <v>Універсал Банк</v>
      </c>
      <c r="D25" s="159" t="str">
        <f>INDEX(tech!$I$4:$J$24,MATCH('Data table'!B25,tech!$B$4:$B$24,0),2)</f>
        <v>Банки з приватним капіталом</v>
      </c>
      <c r="E25" s="160">
        <v>14220</v>
      </c>
      <c r="F25" s="160">
        <v>14220</v>
      </c>
      <c r="G25" s="160">
        <v>14220</v>
      </c>
      <c r="H25" s="163">
        <v>0.16400000000000001</v>
      </c>
      <c r="I25" s="163">
        <v>0.16400000000000001</v>
      </c>
      <c r="J25" s="163">
        <v>0.16400000000000001</v>
      </c>
      <c r="K25" s="160">
        <v>86706</v>
      </c>
      <c r="L25" s="160">
        <v>13931</v>
      </c>
      <c r="M25" s="160">
        <v>13931</v>
      </c>
      <c r="N25" s="160">
        <v>13931</v>
      </c>
      <c r="O25" s="163">
        <v>0.1605</v>
      </c>
      <c r="P25" s="163">
        <v>0.1605</v>
      </c>
      <c r="Q25" s="163">
        <v>0.1605</v>
      </c>
      <c r="R25" s="160">
        <v>86796</v>
      </c>
      <c r="S25" s="169" t="str">
        <f t="shared" si="9"/>
        <v>ні</v>
      </c>
      <c r="T25" s="160">
        <v>13931</v>
      </c>
      <c r="U25" s="160">
        <v>13931</v>
      </c>
      <c r="V25" s="160">
        <v>13931</v>
      </c>
      <c r="W25" s="163">
        <v>0.1605</v>
      </c>
      <c r="X25" s="163">
        <v>0.1605</v>
      </c>
      <c r="Y25" s="163">
        <v>0.1605</v>
      </c>
      <c r="Z25" s="160">
        <v>86796</v>
      </c>
      <c r="AA25" s="160">
        <v>18503</v>
      </c>
      <c r="AB25" s="160">
        <v>20701</v>
      </c>
      <c r="AC25" s="160">
        <v>22091</v>
      </c>
      <c r="AD25" s="160">
        <v>18503</v>
      </c>
      <c r="AE25" s="160">
        <v>20701</v>
      </c>
      <c r="AF25" s="160">
        <v>22091</v>
      </c>
      <c r="AG25" s="160">
        <v>18503</v>
      </c>
      <c r="AH25" s="160">
        <v>20701</v>
      </c>
      <c r="AI25" s="160">
        <v>22091</v>
      </c>
      <c r="AJ25" s="163">
        <v>0.19739999999999999</v>
      </c>
      <c r="AK25" s="163">
        <v>0.21029999999999999</v>
      </c>
      <c r="AL25" s="163">
        <v>0.21970000000000001</v>
      </c>
      <c r="AM25" s="163">
        <v>0.19739999999999999</v>
      </c>
      <c r="AN25" s="163">
        <v>0.21029999999999999</v>
      </c>
      <c r="AO25" s="163">
        <v>0.21970000000000001</v>
      </c>
      <c r="AP25" s="163">
        <v>0.19739999999999999</v>
      </c>
      <c r="AQ25" s="163">
        <v>0.21029999999999999</v>
      </c>
      <c r="AR25" s="163">
        <v>0.21970000000000001</v>
      </c>
      <c r="AS25" s="160">
        <v>93728</v>
      </c>
      <c r="AT25" s="160">
        <v>98416</v>
      </c>
      <c r="AU25" s="160">
        <v>100536</v>
      </c>
      <c r="AV25" s="160">
        <v>16847</v>
      </c>
      <c r="AW25" s="160">
        <v>17160</v>
      </c>
      <c r="AX25" s="160">
        <v>18688</v>
      </c>
      <c r="AY25" s="160">
        <v>16847</v>
      </c>
      <c r="AZ25" s="160">
        <v>17160</v>
      </c>
      <c r="BA25" s="160">
        <v>18688</v>
      </c>
      <c r="BB25" s="160">
        <v>16847</v>
      </c>
      <c r="BC25" s="160">
        <v>17160</v>
      </c>
      <c r="BD25" s="160">
        <v>18688</v>
      </c>
      <c r="BE25" s="161">
        <v>0.17910000000000001</v>
      </c>
      <c r="BF25" s="161">
        <v>0.1744</v>
      </c>
      <c r="BG25" s="161">
        <v>0.1855</v>
      </c>
      <c r="BH25" s="161">
        <v>0.17910000000000001</v>
      </c>
      <c r="BI25" s="161">
        <v>0.1744</v>
      </c>
      <c r="BJ25" s="161">
        <v>0.1855</v>
      </c>
      <c r="BK25" s="162">
        <v>0.17910000000000001</v>
      </c>
      <c r="BL25" s="162">
        <v>0.1744</v>
      </c>
      <c r="BM25" s="162">
        <v>0.1855</v>
      </c>
      <c r="BN25" s="160">
        <v>94059</v>
      </c>
      <c r="BO25" s="160">
        <v>98391</v>
      </c>
      <c r="BP25" s="160">
        <v>100756</v>
      </c>
      <c r="BQ25" s="163">
        <v>0.1</v>
      </c>
      <c r="BR25" s="163">
        <v>7.4999999999999997E-2</v>
      </c>
      <c r="BS25" s="162">
        <v>5.6250000000000001E-2</v>
      </c>
      <c r="BT25" s="163">
        <v>0.1</v>
      </c>
      <c r="BU25" s="163">
        <v>7.4999999999999997E-2</v>
      </c>
      <c r="BV25" s="162">
        <v>5.6250000000000001E-2</v>
      </c>
      <c r="BW25" s="163">
        <v>0.1</v>
      </c>
      <c r="BX25" s="163">
        <v>7.4999999999999997E-2</v>
      </c>
      <c r="BY25" s="162">
        <v>5.6250000000000001E-2</v>
      </c>
      <c r="BZ25" s="161">
        <v>0.1</v>
      </c>
      <c r="CA25" s="161">
        <v>7.4999999999999997E-2</v>
      </c>
      <c r="CB25" s="162">
        <v>5.6250000000000001E-2</v>
      </c>
      <c r="CC25" s="161">
        <v>0.1358</v>
      </c>
      <c r="CD25" s="161">
        <v>0.1358</v>
      </c>
      <c r="CE25" s="162">
        <v>0.1358</v>
      </c>
      <c r="CF25" s="151"/>
      <c r="CG25" s="151"/>
      <c r="CH25" s="152"/>
      <c r="CI25" s="151"/>
      <c r="CJ25" s="151"/>
      <c r="CK25" s="151"/>
      <c r="CL25" s="151"/>
      <c r="CM25" s="153"/>
      <c r="CN25" s="153"/>
      <c r="CO25" s="153"/>
      <c r="CP25" s="154"/>
      <c r="CQ25" s="155"/>
      <c r="CR25" s="155"/>
      <c r="CS25" s="155"/>
      <c r="CT25" s="155"/>
      <c r="CU25" s="155"/>
      <c r="CV25" s="155"/>
      <c r="CW25" s="156"/>
      <c r="CX25" s="156"/>
      <c r="CY25" s="156"/>
      <c r="CZ25" s="156"/>
      <c r="DA25" s="156"/>
      <c r="DB25" s="156"/>
      <c r="DC25" s="156"/>
      <c r="DD25" s="156"/>
      <c r="DE25" s="156"/>
      <c r="DF25" s="156"/>
      <c r="DG25" s="156"/>
      <c r="DH25" s="156"/>
    </row>
    <row r="26" spans="1:112" s="143" customFormat="1" x14ac:dyDescent="0.25">
      <c r="A26" s="164">
        <f t="shared" si="10"/>
        <v>17</v>
      </c>
      <c r="B26" s="159">
        <v>270</v>
      </c>
      <c r="C26" s="159" t="str">
        <f>INDEX(tech!$I$4:$J$24,MATCH('Data table'!B26,tech!$B$4:$B$24,0),1)</f>
        <v>Банк Кредит Дніпро</v>
      </c>
      <c r="D26" s="159" t="str">
        <f>INDEX(tech!$I$4:$J$24,MATCH('Data table'!B26,tech!$B$4:$B$24,0),2)</f>
        <v>Банки з приватним капіталом</v>
      </c>
      <c r="E26" s="160">
        <v>1508</v>
      </c>
      <c r="F26" s="160">
        <v>1508</v>
      </c>
      <c r="G26" s="160">
        <v>1508</v>
      </c>
      <c r="H26" s="163">
        <v>0.14860000000000001</v>
      </c>
      <c r="I26" s="163">
        <v>0.14860000000000001</v>
      </c>
      <c r="J26" s="163">
        <v>0.14860000000000001</v>
      </c>
      <c r="K26" s="160">
        <v>10152</v>
      </c>
      <c r="L26" s="160">
        <v>1347</v>
      </c>
      <c r="M26" s="160">
        <v>1347</v>
      </c>
      <c r="N26" s="160">
        <v>1347</v>
      </c>
      <c r="O26" s="163">
        <v>0.13300000000000001</v>
      </c>
      <c r="P26" s="163">
        <v>0.13300000000000001</v>
      </c>
      <c r="Q26" s="163">
        <v>0.13300000000000001</v>
      </c>
      <c r="R26" s="160">
        <v>10126</v>
      </c>
      <c r="S26" s="169" t="str">
        <f t="shared" si="9"/>
        <v>ні</v>
      </c>
      <c r="T26" s="160">
        <v>1347</v>
      </c>
      <c r="U26" s="160">
        <v>1347</v>
      </c>
      <c r="V26" s="160">
        <v>1347</v>
      </c>
      <c r="W26" s="163">
        <v>0.13300000000000001</v>
      </c>
      <c r="X26" s="163">
        <v>0.13300000000000001</v>
      </c>
      <c r="Y26" s="163">
        <v>0.13300000000000001</v>
      </c>
      <c r="Z26" s="160">
        <v>10126</v>
      </c>
      <c r="AA26" s="160">
        <v>1057</v>
      </c>
      <c r="AB26" s="160">
        <v>1016</v>
      </c>
      <c r="AC26" s="160">
        <v>683</v>
      </c>
      <c r="AD26" s="160">
        <v>1057</v>
      </c>
      <c r="AE26" s="160">
        <v>1016</v>
      </c>
      <c r="AF26" s="160">
        <v>683</v>
      </c>
      <c r="AG26" s="160">
        <v>1057</v>
      </c>
      <c r="AH26" s="160">
        <v>1016</v>
      </c>
      <c r="AI26" s="160">
        <v>683</v>
      </c>
      <c r="AJ26" s="163">
        <v>0.1048</v>
      </c>
      <c r="AK26" s="163">
        <v>0.1033</v>
      </c>
      <c r="AL26" s="163">
        <v>7.1099999999999997E-2</v>
      </c>
      <c r="AM26" s="163">
        <v>0.1048</v>
      </c>
      <c r="AN26" s="163">
        <v>0.1033</v>
      </c>
      <c r="AO26" s="163">
        <v>7.1099999999999997E-2</v>
      </c>
      <c r="AP26" s="163">
        <v>0.1048</v>
      </c>
      <c r="AQ26" s="163">
        <v>0.1033</v>
      </c>
      <c r="AR26" s="163">
        <v>7.1099999999999997E-2</v>
      </c>
      <c r="AS26" s="160">
        <v>10081</v>
      </c>
      <c r="AT26" s="160">
        <v>9837</v>
      </c>
      <c r="AU26" s="160">
        <v>9593</v>
      </c>
      <c r="AV26" s="160">
        <v>554</v>
      </c>
      <c r="AW26" s="160">
        <v>-426</v>
      </c>
      <c r="AX26" s="160">
        <v>-908</v>
      </c>
      <c r="AY26" s="160">
        <v>554</v>
      </c>
      <c r="AZ26" s="160">
        <v>-426</v>
      </c>
      <c r="BA26" s="160">
        <v>-908</v>
      </c>
      <c r="BB26" s="160">
        <v>554</v>
      </c>
      <c r="BC26" s="160">
        <v>-426</v>
      </c>
      <c r="BD26" s="160">
        <v>-908</v>
      </c>
      <c r="BE26" s="161">
        <v>5.4600000000000003E-2</v>
      </c>
      <c r="BF26" s="161">
        <v>-4.3700000000000003E-2</v>
      </c>
      <c r="BG26" s="161">
        <v>-9.7500000000000003E-2</v>
      </c>
      <c r="BH26" s="161">
        <v>5.4600000000000003E-2</v>
      </c>
      <c r="BI26" s="161">
        <v>-4.3700000000000003E-2</v>
      </c>
      <c r="BJ26" s="161">
        <v>-9.7500000000000003E-2</v>
      </c>
      <c r="BK26" s="162">
        <v>5.4600000000000003E-2</v>
      </c>
      <c r="BL26" s="162">
        <v>-4.3700000000000003E-2</v>
      </c>
      <c r="BM26" s="162">
        <v>-9.7500000000000003E-2</v>
      </c>
      <c r="BN26" s="160">
        <v>10165</v>
      </c>
      <c r="BO26" s="160">
        <v>9755</v>
      </c>
      <c r="BP26" s="160">
        <v>9308</v>
      </c>
      <c r="BQ26" s="163">
        <v>0.16039999999999999</v>
      </c>
      <c r="BR26" s="163">
        <v>0.13669999999999999</v>
      </c>
      <c r="BS26" s="163">
        <v>0.11890000000000001</v>
      </c>
      <c r="BT26" s="163">
        <v>0.1</v>
      </c>
      <c r="BU26" s="163">
        <v>7.4999999999999997E-2</v>
      </c>
      <c r="BV26" s="162">
        <v>5.6250000000000001E-2</v>
      </c>
      <c r="BW26" s="163">
        <v>0.31459999999999999</v>
      </c>
      <c r="BX26" s="163">
        <v>0.29160000000000003</v>
      </c>
      <c r="BY26" s="163">
        <v>0.27439999999999998</v>
      </c>
      <c r="BZ26" s="163">
        <v>0.14230000000000001</v>
      </c>
      <c r="CA26" s="163">
        <v>0.1173</v>
      </c>
      <c r="CB26" s="163">
        <v>9.8500000000000004E-2</v>
      </c>
      <c r="CC26" s="161">
        <v>0.1202</v>
      </c>
      <c r="CD26" s="161">
        <v>0.1202</v>
      </c>
      <c r="CE26" s="162">
        <v>0.1202</v>
      </c>
      <c r="CF26" s="151"/>
      <c r="CG26" s="151"/>
      <c r="CH26" s="152"/>
      <c r="CI26" s="151"/>
      <c r="CJ26" s="151"/>
      <c r="CK26" s="151"/>
      <c r="CL26" s="151"/>
      <c r="CM26" s="153"/>
      <c r="CN26" s="153"/>
      <c r="CO26" s="153"/>
      <c r="CP26" s="154"/>
      <c r="CQ26" s="155"/>
      <c r="CR26" s="155"/>
      <c r="CS26" s="155"/>
      <c r="CT26" s="155"/>
      <c r="CU26" s="155"/>
      <c r="CV26" s="155"/>
      <c r="CW26" s="156"/>
      <c r="CX26" s="156"/>
      <c r="CY26" s="156"/>
      <c r="CZ26" s="156"/>
      <c r="DA26" s="156"/>
      <c r="DB26" s="156"/>
      <c r="DC26" s="156"/>
      <c r="DD26" s="156"/>
      <c r="DE26" s="156"/>
      <c r="DF26" s="156"/>
      <c r="DG26" s="156"/>
      <c r="DH26" s="156"/>
    </row>
    <row r="27" spans="1:112" s="143" customFormat="1" x14ac:dyDescent="0.25">
      <c r="A27" s="164">
        <f t="shared" si="10"/>
        <v>18</v>
      </c>
      <c r="B27" s="159">
        <v>305</v>
      </c>
      <c r="C27" s="159" t="str">
        <f>INDEX(tech!$I$4:$J$24,MATCH('Data table'!B27,tech!$B$4:$B$24,0),1)</f>
        <v>ВСТ Банк</v>
      </c>
      <c r="D27" s="159" t="str">
        <f>INDEX(tech!$I$4:$J$24,MATCH('Data table'!B27,tech!$B$4:$B$24,0),2)</f>
        <v>Банки з приватним капіталом</v>
      </c>
      <c r="E27" s="160">
        <v>2015</v>
      </c>
      <c r="F27" s="160">
        <v>2015</v>
      </c>
      <c r="G27" s="160">
        <v>2247</v>
      </c>
      <c r="H27" s="163">
        <v>0.13339999999999999</v>
      </c>
      <c r="I27" s="163">
        <v>0.1196</v>
      </c>
      <c r="J27" s="163">
        <v>0.1196</v>
      </c>
      <c r="K27" s="160">
        <v>16842</v>
      </c>
      <c r="L27" s="160">
        <v>1974</v>
      </c>
      <c r="M27" s="160">
        <v>1974</v>
      </c>
      <c r="N27" s="160">
        <v>2206</v>
      </c>
      <c r="O27" s="163">
        <v>0.13170000000000001</v>
      </c>
      <c r="P27" s="163">
        <v>0.1178</v>
      </c>
      <c r="Q27" s="163">
        <v>0.1178</v>
      </c>
      <c r="R27" s="160">
        <v>16750</v>
      </c>
      <c r="S27" s="169" t="str">
        <f t="shared" si="9"/>
        <v>ні</v>
      </c>
      <c r="T27" s="160">
        <v>1967</v>
      </c>
      <c r="U27" s="160">
        <v>1967</v>
      </c>
      <c r="V27" s="160">
        <v>2199</v>
      </c>
      <c r="W27" s="163">
        <v>0.1313</v>
      </c>
      <c r="X27" s="163">
        <v>0.11749999999999999</v>
      </c>
      <c r="Y27" s="163">
        <v>0.11749999999999999</v>
      </c>
      <c r="Z27" s="160">
        <v>16743</v>
      </c>
      <c r="AA27" s="160">
        <v>2030</v>
      </c>
      <c r="AB27" s="160">
        <v>2158</v>
      </c>
      <c r="AC27" s="160">
        <v>2012</v>
      </c>
      <c r="AD27" s="160">
        <v>2030</v>
      </c>
      <c r="AE27" s="160">
        <v>2158</v>
      </c>
      <c r="AF27" s="160">
        <v>2012</v>
      </c>
      <c r="AG27" s="160">
        <v>2207</v>
      </c>
      <c r="AH27" s="160">
        <v>2270</v>
      </c>
      <c r="AI27" s="160">
        <v>2057</v>
      </c>
      <c r="AJ27" s="163">
        <v>0.1273</v>
      </c>
      <c r="AK27" s="163">
        <v>0.12570000000000001</v>
      </c>
      <c r="AL27" s="163">
        <v>0.11260000000000001</v>
      </c>
      <c r="AM27" s="163">
        <v>0.1171</v>
      </c>
      <c r="AN27" s="163">
        <v>0.1195</v>
      </c>
      <c r="AO27" s="163">
        <v>0.1101</v>
      </c>
      <c r="AP27" s="163">
        <v>0.1171</v>
      </c>
      <c r="AQ27" s="163">
        <v>0.1195</v>
      </c>
      <c r="AR27" s="163">
        <v>0.1101</v>
      </c>
      <c r="AS27" s="160">
        <v>17339</v>
      </c>
      <c r="AT27" s="160">
        <v>18064</v>
      </c>
      <c r="AU27" s="160">
        <v>18277</v>
      </c>
      <c r="AV27" s="160">
        <v>1568</v>
      </c>
      <c r="AW27" s="160">
        <v>1122</v>
      </c>
      <c r="AX27" s="160">
        <v>1002</v>
      </c>
      <c r="AY27" s="160">
        <v>1568</v>
      </c>
      <c r="AZ27" s="160">
        <v>1122</v>
      </c>
      <c r="BA27" s="160">
        <v>1002</v>
      </c>
      <c r="BB27" s="160">
        <v>1758</v>
      </c>
      <c r="BC27" s="160">
        <v>1250</v>
      </c>
      <c r="BD27" s="160">
        <v>1056</v>
      </c>
      <c r="BE27" s="161">
        <v>9.98E-2</v>
      </c>
      <c r="BF27" s="161">
        <v>6.7799999999999999E-2</v>
      </c>
      <c r="BG27" s="161">
        <v>5.6399999999999999E-2</v>
      </c>
      <c r="BH27" s="161">
        <v>8.8999999999999996E-2</v>
      </c>
      <c r="BI27" s="161">
        <v>6.0900000000000003E-2</v>
      </c>
      <c r="BJ27" s="161">
        <v>5.3499999999999999E-2</v>
      </c>
      <c r="BK27" s="162">
        <v>8.8999999999999996E-2</v>
      </c>
      <c r="BL27" s="162">
        <v>6.0900000000000003E-2</v>
      </c>
      <c r="BM27" s="162">
        <v>5.3499999999999999E-2</v>
      </c>
      <c r="BN27" s="160">
        <v>17615</v>
      </c>
      <c r="BO27" s="160">
        <v>18438</v>
      </c>
      <c r="BP27" s="160">
        <v>18721</v>
      </c>
      <c r="BQ27" s="163">
        <v>0.1176</v>
      </c>
      <c r="BR27" s="163">
        <v>7.4999999999999997E-2</v>
      </c>
      <c r="BS27" s="162">
        <v>5.6250000000000001E-2</v>
      </c>
      <c r="BT27" s="163">
        <v>0.1</v>
      </c>
      <c r="BU27" s="163">
        <v>7.4999999999999997E-2</v>
      </c>
      <c r="BV27" s="162">
        <v>5.6250000000000001E-2</v>
      </c>
      <c r="BW27" s="163">
        <v>0.18010000000000001</v>
      </c>
      <c r="BX27" s="163">
        <v>0.14149999999999999</v>
      </c>
      <c r="BY27" s="163">
        <v>0.1205</v>
      </c>
      <c r="BZ27" s="163">
        <v>0.14349999999999999</v>
      </c>
      <c r="CA27" s="163">
        <v>0.121</v>
      </c>
      <c r="CB27" s="163">
        <v>0.1002</v>
      </c>
      <c r="CC27" s="161">
        <v>0.13869999999999999</v>
      </c>
      <c r="CD27" s="161">
        <v>0.122</v>
      </c>
      <c r="CE27" s="162">
        <v>0.122</v>
      </c>
      <c r="CF27" s="151"/>
      <c r="CG27" s="151"/>
      <c r="CH27" s="152"/>
      <c r="CI27" s="151"/>
      <c r="CJ27" s="151"/>
      <c r="CK27" s="151"/>
      <c r="CL27" s="151"/>
      <c r="CM27" s="153"/>
      <c r="CN27" s="153"/>
      <c r="CO27" s="153"/>
      <c r="CP27" s="154"/>
      <c r="CQ27" s="155"/>
      <c r="CR27" s="155"/>
      <c r="CS27" s="155"/>
      <c r="CT27" s="155"/>
      <c r="CU27" s="155"/>
      <c r="CV27" s="155"/>
      <c r="CW27" s="156"/>
      <c r="CX27" s="156"/>
      <c r="CY27" s="156"/>
      <c r="CZ27" s="156"/>
      <c r="DA27" s="156"/>
      <c r="DB27" s="156"/>
      <c r="DC27" s="156"/>
      <c r="DD27" s="156"/>
      <c r="DE27" s="156"/>
      <c r="DF27" s="156"/>
      <c r="DG27" s="156"/>
      <c r="DH27" s="156"/>
    </row>
    <row r="28" spans="1:112" s="143" customFormat="1" x14ac:dyDescent="0.25">
      <c r="A28" s="164">
        <f t="shared" si="10"/>
        <v>19</v>
      </c>
      <c r="B28" s="159">
        <v>96</v>
      </c>
      <c r="C28" s="159" t="str">
        <f>INDEX(tech!$I$4:$J$24,MATCH('Data table'!B28,tech!$B$4:$B$24,0),1)</f>
        <v>А - Банк</v>
      </c>
      <c r="D28" s="159" t="str">
        <f>INDEX(tech!$I$4:$J$24,MATCH('Data table'!B28,tech!$B$4:$B$24,0),2)</f>
        <v>Банки з приватним капіталом</v>
      </c>
      <c r="E28" s="160">
        <v>3639</v>
      </c>
      <c r="F28" s="160">
        <v>3639</v>
      </c>
      <c r="G28" s="160">
        <v>3639</v>
      </c>
      <c r="H28" s="163">
        <v>0.13150000000000001</v>
      </c>
      <c r="I28" s="163">
        <v>0.13150000000000001</v>
      </c>
      <c r="J28" s="163">
        <v>0.13150000000000001</v>
      </c>
      <c r="K28" s="160">
        <v>27670</v>
      </c>
      <c r="L28" s="160">
        <v>3387</v>
      </c>
      <c r="M28" s="160">
        <v>3387</v>
      </c>
      <c r="N28" s="160">
        <v>3387</v>
      </c>
      <c r="O28" s="163">
        <v>0.1227</v>
      </c>
      <c r="P28" s="163">
        <v>0.1227</v>
      </c>
      <c r="Q28" s="163">
        <v>0.1227</v>
      </c>
      <c r="R28" s="160">
        <v>27602</v>
      </c>
      <c r="S28" s="169" t="str">
        <f t="shared" si="9"/>
        <v>ні</v>
      </c>
      <c r="T28" s="160">
        <v>3387</v>
      </c>
      <c r="U28" s="160">
        <v>3387</v>
      </c>
      <c r="V28" s="160">
        <v>3387</v>
      </c>
      <c r="W28" s="163">
        <v>0.1227</v>
      </c>
      <c r="X28" s="163">
        <v>0.1227</v>
      </c>
      <c r="Y28" s="163">
        <v>0.1227</v>
      </c>
      <c r="Z28" s="160">
        <v>27602</v>
      </c>
      <c r="AA28" s="160">
        <v>3405</v>
      </c>
      <c r="AB28" s="160">
        <v>3258</v>
      </c>
      <c r="AC28" s="160">
        <v>2983</v>
      </c>
      <c r="AD28" s="160">
        <v>3405</v>
      </c>
      <c r="AE28" s="160">
        <v>3258</v>
      </c>
      <c r="AF28" s="160">
        <v>2983</v>
      </c>
      <c r="AG28" s="160">
        <v>3405</v>
      </c>
      <c r="AH28" s="160">
        <v>3258</v>
      </c>
      <c r="AI28" s="160">
        <v>2983</v>
      </c>
      <c r="AJ28" s="163">
        <v>0.1178</v>
      </c>
      <c r="AK28" s="163">
        <v>0.11210000000000001</v>
      </c>
      <c r="AL28" s="163">
        <v>0.1031</v>
      </c>
      <c r="AM28" s="163">
        <v>0.1178</v>
      </c>
      <c r="AN28" s="163">
        <v>0.11210000000000001</v>
      </c>
      <c r="AO28" s="163">
        <v>0.1031</v>
      </c>
      <c r="AP28" s="163">
        <v>0.1178</v>
      </c>
      <c r="AQ28" s="163">
        <v>0.11210000000000001</v>
      </c>
      <c r="AR28" s="163">
        <v>0.1031</v>
      </c>
      <c r="AS28" s="160">
        <v>28907</v>
      </c>
      <c r="AT28" s="160">
        <v>29061</v>
      </c>
      <c r="AU28" s="160">
        <v>28936</v>
      </c>
      <c r="AV28" s="160">
        <v>2835</v>
      </c>
      <c r="AW28" s="160">
        <v>1524</v>
      </c>
      <c r="AX28" s="160">
        <v>1018</v>
      </c>
      <c r="AY28" s="160">
        <v>2835</v>
      </c>
      <c r="AZ28" s="160">
        <v>1524</v>
      </c>
      <c r="BA28" s="160">
        <v>1018</v>
      </c>
      <c r="BB28" s="160">
        <v>2835</v>
      </c>
      <c r="BC28" s="160">
        <v>1524</v>
      </c>
      <c r="BD28" s="160">
        <v>1018</v>
      </c>
      <c r="BE28" s="161">
        <v>9.8299999999999998E-2</v>
      </c>
      <c r="BF28" s="161">
        <v>5.2999999999999999E-2</v>
      </c>
      <c r="BG28" s="161">
        <v>3.5700000000000003E-2</v>
      </c>
      <c r="BH28" s="161">
        <v>9.8299999999999998E-2</v>
      </c>
      <c r="BI28" s="161">
        <v>5.2999999999999999E-2</v>
      </c>
      <c r="BJ28" s="161">
        <v>3.5700000000000003E-2</v>
      </c>
      <c r="BK28" s="162">
        <v>9.8299999999999998E-2</v>
      </c>
      <c r="BL28" s="162">
        <v>5.2999999999999999E-2</v>
      </c>
      <c r="BM28" s="162">
        <v>3.5700000000000003E-2</v>
      </c>
      <c r="BN28" s="160">
        <v>28847</v>
      </c>
      <c r="BO28" s="160">
        <v>28775</v>
      </c>
      <c r="BP28" s="160">
        <v>28533</v>
      </c>
      <c r="BQ28" s="163">
        <v>0.1195</v>
      </c>
      <c r="BR28" s="163">
        <v>9.3299999999999994E-2</v>
      </c>
      <c r="BS28" s="162">
        <v>7.3599999999999999E-2</v>
      </c>
      <c r="BT28" s="163">
        <v>0.1</v>
      </c>
      <c r="BU28" s="163">
        <v>7.4999999999999997E-2</v>
      </c>
      <c r="BV28" s="162">
        <v>5.6250000000000001E-2</v>
      </c>
      <c r="BW28" s="163">
        <v>0.18920000000000001</v>
      </c>
      <c r="BX28" s="163">
        <v>0.1633</v>
      </c>
      <c r="BY28" s="163">
        <v>0.14399999999999999</v>
      </c>
      <c r="BZ28" s="163">
        <v>0.12509999999999999</v>
      </c>
      <c r="CA28" s="163">
        <v>9.8699999999999996E-2</v>
      </c>
      <c r="CB28" s="163">
        <v>7.8899999999999998E-2</v>
      </c>
      <c r="CC28" s="161">
        <v>0.1356</v>
      </c>
      <c r="CD28" s="161">
        <v>0.1356</v>
      </c>
      <c r="CE28" s="162">
        <v>0.1356</v>
      </c>
      <c r="CF28" s="151"/>
      <c r="CG28" s="151"/>
      <c r="CH28" s="152"/>
      <c r="CI28" s="151"/>
      <c r="CJ28" s="151"/>
      <c r="CK28" s="151"/>
      <c r="CL28" s="151"/>
      <c r="CM28" s="153"/>
      <c r="CN28" s="153"/>
      <c r="CO28" s="153"/>
      <c r="CP28" s="154"/>
      <c r="CQ28" s="155"/>
      <c r="CR28" s="155"/>
      <c r="CS28" s="155"/>
      <c r="CT28" s="155"/>
      <c r="CU28" s="155"/>
      <c r="CV28" s="155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</row>
    <row r="29" spans="1:112" s="143" customFormat="1" x14ac:dyDescent="0.25">
      <c r="A29" s="164">
        <f t="shared" si="10"/>
        <v>20</v>
      </c>
      <c r="B29" s="159">
        <v>105</v>
      </c>
      <c r="C29" s="159" t="str">
        <f>INDEX(tech!$I$4:$J$24,MATCH('Data table'!B29,tech!$B$4:$B$24,0),1)</f>
        <v>МТБ Банк</v>
      </c>
      <c r="D29" s="159" t="str">
        <f>INDEX(tech!$I$4:$J$24,MATCH('Data table'!B29,tech!$B$4:$B$24,0),2)</f>
        <v>Банки з приватним капіталом</v>
      </c>
      <c r="E29" s="160">
        <v>1269</v>
      </c>
      <c r="F29" s="160">
        <v>1269</v>
      </c>
      <c r="G29" s="160">
        <v>1322</v>
      </c>
      <c r="H29" s="163">
        <v>0.14929999999999999</v>
      </c>
      <c r="I29" s="163">
        <v>0.14330000000000001</v>
      </c>
      <c r="J29" s="163">
        <v>0.14330000000000001</v>
      </c>
      <c r="K29" s="160">
        <v>8857</v>
      </c>
      <c r="L29" s="160">
        <v>1061</v>
      </c>
      <c r="M29" s="160">
        <v>1061</v>
      </c>
      <c r="N29" s="160">
        <v>1114</v>
      </c>
      <c r="O29" s="163">
        <v>0.12770000000000001</v>
      </c>
      <c r="P29" s="163">
        <v>0.1216</v>
      </c>
      <c r="Q29" s="163">
        <v>0.1216</v>
      </c>
      <c r="R29" s="160">
        <v>8723</v>
      </c>
      <c r="S29" s="169" t="str">
        <f t="shared" si="9"/>
        <v>ні</v>
      </c>
      <c r="T29" s="160">
        <v>1061</v>
      </c>
      <c r="U29" s="160">
        <v>1061</v>
      </c>
      <c r="V29" s="160">
        <v>1114</v>
      </c>
      <c r="W29" s="163">
        <v>0.12770000000000001</v>
      </c>
      <c r="X29" s="163">
        <v>0.1216</v>
      </c>
      <c r="Y29" s="163">
        <v>0.1216</v>
      </c>
      <c r="Z29" s="160">
        <v>8723</v>
      </c>
      <c r="AA29" s="160">
        <v>1253</v>
      </c>
      <c r="AB29" s="160">
        <v>1456</v>
      </c>
      <c r="AC29" s="160">
        <v>1562</v>
      </c>
      <c r="AD29" s="160">
        <v>1253</v>
      </c>
      <c r="AE29" s="160">
        <v>1456</v>
      </c>
      <c r="AF29" s="160">
        <v>1562</v>
      </c>
      <c r="AG29" s="160">
        <v>1290</v>
      </c>
      <c r="AH29" s="160">
        <v>1474</v>
      </c>
      <c r="AI29" s="160">
        <v>1562</v>
      </c>
      <c r="AJ29" s="163">
        <v>0.1409</v>
      </c>
      <c r="AK29" s="163">
        <v>0.15160000000000001</v>
      </c>
      <c r="AL29" s="163">
        <v>0.15690000000000001</v>
      </c>
      <c r="AM29" s="163">
        <v>0.13689999999999999</v>
      </c>
      <c r="AN29" s="163">
        <v>0.1497</v>
      </c>
      <c r="AO29" s="163">
        <v>0.15690000000000001</v>
      </c>
      <c r="AP29" s="163">
        <v>0.13689999999999999</v>
      </c>
      <c r="AQ29" s="163">
        <v>0.1497</v>
      </c>
      <c r="AR29" s="163">
        <v>0.15690000000000001</v>
      </c>
      <c r="AS29" s="160">
        <v>9157</v>
      </c>
      <c r="AT29" s="160">
        <v>9725</v>
      </c>
      <c r="AU29" s="160">
        <v>9956</v>
      </c>
      <c r="AV29" s="160">
        <v>871</v>
      </c>
      <c r="AW29" s="160">
        <v>688</v>
      </c>
      <c r="AX29" s="160">
        <v>713</v>
      </c>
      <c r="AY29" s="160">
        <v>871</v>
      </c>
      <c r="AZ29" s="160">
        <v>688</v>
      </c>
      <c r="BA29" s="160">
        <v>713</v>
      </c>
      <c r="BB29" s="160">
        <v>910</v>
      </c>
      <c r="BC29" s="160">
        <v>709</v>
      </c>
      <c r="BD29" s="160">
        <v>714</v>
      </c>
      <c r="BE29" s="161">
        <v>9.9400000000000002E-2</v>
      </c>
      <c r="BF29" s="161">
        <v>7.3099999999999998E-2</v>
      </c>
      <c r="BG29" s="161">
        <v>7.2599999999999998E-2</v>
      </c>
      <c r="BH29" s="161">
        <v>9.5100000000000004E-2</v>
      </c>
      <c r="BI29" s="161">
        <v>7.0900000000000005E-2</v>
      </c>
      <c r="BJ29" s="161">
        <v>7.2499999999999995E-2</v>
      </c>
      <c r="BK29" s="162">
        <v>9.5100000000000004E-2</v>
      </c>
      <c r="BL29" s="162">
        <v>7.0900000000000005E-2</v>
      </c>
      <c r="BM29" s="162">
        <v>7.2499999999999995E-2</v>
      </c>
      <c r="BN29" s="160">
        <v>9158</v>
      </c>
      <c r="BO29" s="160">
        <v>9700</v>
      </c>
      <c r="BP29" s="160">
        <v>9834</v>
      </c>
      <c r="BQ29" s="163">
        <v>0.1</v>
      </c>
      <c r="BR29" s="163">
        <v>7.4999999999999997E-2</v>
      </c>
      <c r="BS29" s="162">
        <v>5.6250000000000001E-2</v>
      </c>
      <c r="BT29" s="163">
        <v>0.1</v>
      </c>
      <c r="BU29" s="163">
        <v>7.4999999999999997E-2</v>
      </c>
      <c r="BV29" s="162">
        <v>5.6250000000000001E-2</v>
      </c>
      <c r="BW29" s="163">
        <v>0.15759999999999999</v>
      </c>
      <c r="BX29" s="163">
        <v>0.12609999999999999</v>
      </c>
      <c r="BY29" s="163">
        <v>0.1053</v>
      </c>
      <c r="BZ29" s="163">
        <v>0.14960000000000001</v>
      </c>
      <c r="CA29" s="161">
        <v>0.1232</v>
      </c>
      <c r="CB29" s="161">
        <v>0.1023</v>
      </c>
      <c r="CC29" s="161">
        <v>0.1187</v>
      </c>
      <c r="CD29" s="161">
        <v>0.11550000000000001</v>
      </c>
      <c r="CE29" s="162">
        <v>0.11550000000000001</v>
      </c>
      <c r="CF29" s="151"/>
      <c r="CG29" s="151"/>
      <c r="CH29" s="152"/>
      <c r="CI29" s="151"/>
      <c r="CJ29" s="151"/>
      <c r="CK29" s="151"/>
      <c r="CL29" s="151"/>
      <c r="CM29" s="153"/>
      <c r="CN29" s="153"/>
      <c r="CO29" s="153"/>
      <c r="CP29" s="154"/>
      <c r="CQ29" s="155"/>
      <c r="CR29" s="155"/>
      <c r="CS29" s="155"/>
      <c r="CT29" s="155"/>
      <c r="CU29" s="155"/>
      <c r="CV29" s="155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</row>
    <row r="30" spans="1:112" s="143" customFormat="1" x14ac:dyDescent="0.25">
      <c r="A30" s="164">
        <f t="shared" si="10"/>
        <v>21</v>
      </c>
      <c r="B30" s="159">
        <v>91</v>
      </c>
      <c r="C30" s="159" t="str">
        <f>INDEX(tech!$I$4:$J$24,MATCH('Data table'!B30,tech!$B$4:$B$24,0),1)</f>
        <v>Львів</v>
      </c>
      <c r="D30" s="159" t="str">
        <f>INDEX(tech!$I$4:$J$24,MATCH('Data table'!B30,tech!$B$4:$B$24,0),2)</f>
        <v>Банки з приватним капіталом</v>
      </c>
      <c r="E30" s="160">
        <v>1009</v>
      </c>
      <c r="F30" s="160">
        <v>1009</v>
      </c>
      <c r="G30" s="160">
        <v>1146</v>
      </c>
      <c r="H30" s="163">
        <v>0.1318</v>
      </c>
      <c r="I30" s="163">
        <v>0.11600000000000001</v>
      </c>
      <c r="J30" s="163">
        <v>0.11600000000000001</v>
      </c>
      <c r="K30" s="160">
        <v>8698</v>
      </c>
      <c r="L30" s="160">
        <v>956</v>
      </c>
      <c r="M30" s="160">
        <v>956</v>
      </c>
      <c r="N30" s="160">
        <v>1093</v>
      </c>
      <c r="O30" s="163">
        <v>0.12609999999999999</v>
      </c>
      <c r="P30" s="163">
        <v>0.11020000000000001</v>
      </c>
      <c r="Q30" s="163">
        <v>0.11020000000000001</v>
      </c>
      <c r="R30" s="160">
        <v>8673</v>
      </c>
      <c r="S30" s="169" t="str">
        <f t="shared" si="9"/>
        <v>ні</v>
      </c>
      <c r="T30" s="160">
        <v>956</v>
      </c>
      <c r="U30" s="160">
        <v>956</v>
      </c>
      <c r="V30" s="160">
        <v>1093</v>
      </c>
      <c r="W30" s="163">
        <v>0.12609999999999999</v>
      </c>
      <c r="X30" s="163">
        <v>0.11020000000000001</v>
      </c>
      <c r="Y30" s="163">
        <v>0.11020000000000001</v>
      </c>
      <c r="Z30" s="160">
        <v>8673</v>
      </c>
      <c r="AA30" s="160">
        <v>1040</v>
      </c>
      <c r="AB30" s="160">
        <v>1056</v>
      </c>
      <c r="AC30" s="160">
        <v>1010</v>
      </c>
      <c r="AD30" s="160">
        <v>1040</v>
      </c>
      <c r="AE30" s="160">
        <v>1056</v>
      </c>
      <c r="AF30" s="160">
        <v>1010</v>
      </c>
      <c r="AG30" s="160">
        <v>1149</v>
      </c>
      <c r="AH30" s="160">
        <v>1132</v>
      </c>
      <c r="AI30" s="160">
        <v>1048</v>
      </c>
      <c r="AJ30" s="163">
        <v>0.12740000000000001</v>
      </c>
      <c r="AK30" s="163">
        <v>0.1232</v>
      </c>
      <c r="AL30" s="163">
        <v>0.11409999999999999</v>
      </c>
      <c r="AM30" s="163">
        <v>0.1153</v>
      </c>
      <c r="AN30" s="163">
        <v>0.1149</v>
      </c>
      <c r="AO30" s="163">
        <v>0.11</v>
      </c>
      <c r="AP30" s="163">
        <v>0.1153</v>
      </c>
      <c r="AQ30" s="163">
        <v>0.1149</v>
      </c>
      <c r="AR30" s="163">
        <v>0.11</v>
      </c>
      <c r="AS30" s="160">
        <v>9021</v>
      </c>
      <c r="AT30" s="160">
        <v>9192</v>
      </c>
      <c r="AU30" s="160">
        <v>9184</v>
      </c>
      <c r="AV30" s="160">
        <v>590</v>
      </c>
      <c r="AW30" s="160">
        <v>269</v>
      </c>
      <c r="AX30" s="160">
        <v>126</v>
      </c>
      <c r="AY30" s="160">
        <v>590</v>
      </c>
      <c r="AZ30" s="160">
        <v>269</v>
      </c>
      <c r="BA30" s="160">
        <v>126</v>
      </c>
      <c r="BB30" s="160">
        <v>707</v>
      </c>
      <c r="BC30" s="160">
        <v>355</v>
      </c>
      <c r="BD30" s="160">
        <v>171</v>
      </c>
      <c r="BE30" s="161">
        <v>7.9600000000000004E-2</v>
      </c>
      <c r="BF30" s="161">
        <v>3.9100000000000003E-2</v>
      </c>
      <c r="BG30" s="161">
        <v>1.9E-2</v>
      </c>
      <c r="BH30" s="161">
        <v>6.6400000000000001E-2</v>
      </c>
      <c r="BI30" s="161">
        <v>2.9700000000000001E-2</v>
      </c>
      <c r="BJ30" s="161">
        <v>1.4E-2</v>
      </c>
      <c r="BK30" s="162">
        <v>6.6400000000000001E-2</v>
      </c>
      <c r="BL30" s="162">
        <v>2.9700000000000001E-2</v>
      </c>
      <c r="BM30" s="162">
        <v>1.4E-2</v>
      </c>
      <c r="BN30" s="160">
        <v>8885</v>
      </c>
      <c r="BO30" s="160">
        <v>9075</v>
      </c>
      <c r="BP30" s="160">
        <v>9042</v>
      </c>
      <c r="BQ30" s="163">
        <v>0.1111</v>
      </c>
      <c r="BR30" s="163">
        <v>7.4999999999999997E-2</v>
      </c>
      <c r="BS30" s="162">
        <v>5.6250000000000001E-2</v>
      </c>
      <c r="BT30" s="163">
        <v>0.1</v>
      </c>
      <c r="BU30" s="163">
        <v>7.4999999999999997E-2</v>
      </c>
      <c r="BV30" s="162">
        <v>5.6250000000000001E-2</v>
      </c>
      <c r="BW30" s="163">
        <v>0.21060000000000001</v>
      </c>
      <c r="BX30" s="163">
        <v>0.17380000000000001</v>
      </c>
      <c r="BY30" s="163">
        <v>0.15429999999999999</v>
      </c>
      <c r="BZ30" s="163">
        <v>0.14299999999999999</v>
      </c>
      <c r="CA30" s="163">
        <v>0.1052</v>
      </c>
      <c r="CB30" s="163">
        <v>8.4900000000000003E-2</v>
      </c>
      <c r="CC30" s="161">
        <v>0.1303</v>
      </c>
      <c r="CD30" s="161">
        <v>8.7300000000000003E-2</v>
      </c>
      <c r="CE30" s="162">
        <v>8.7300000000000003E-2</v>
      </c>
      <c r="CF30" s="151"/>
      <c r="CG30" s="151"/>
      <c r="CH30" s="152"/>
      <c r="CI30" s="151"/>
      <c r="CJ30" s="151"/>
      <c r="CK30" s="151"/>
      <c r="CL30" s="151"/>
      <c r="CM30" s="153"/>
      <c r="CN30" s="153"/>
      <c r="CO30" s="153"/>
      <c r="CP30" s="154"/>
      <c r="CQ30" s="155"/>
      <c r="CR30" s="155"/>
      <c r="CS30" s="155"/>
      <c r="CT30" s="155"/>
      <c r="CU30" s="155"/>
      <c r="CV30" s="155"/>
      <c r="CW30" s="156"/>
      <c r="CX30" s="156"/>
      <c r="CY30" s="156"/>
      <c r="CZ30" s="156"/>
      <c r="DA30" s="156"/>
      <c r="DB30" s="156"/>
      <c r="DC30" s="156"/>
      <c r="DD30" s="156"/>
      <c r="DE30" s="156"/>
      <c r="DF30" s="156"/>
      <c r="DG30" s="156"/>
      <c r="DH30" s="156"/>
    </row>
    <row r="31" spans="1:112" x14ac:dyDescent="0.25">
      <c r="A31" s="143"/>
      <c r="B31" s="143"/>
      <c r="C31" s="143" t="str">
        <f>IF($I$1="ENG","The adjusted bank data reflect annual adjustments based on the results of the audit of the financial statements, as well as a retrospective increase in the corporate income tax rate from 25% to 50%.","Скориговані дані банків відображають річні коригування за результатами аудиту фінансової звітності та ретроспективне підвищення ставки податку на прибуток із 25% до 50%.")</f>
        <v>Скориговані дані банків відображають річні коригування за результатами аудиту фінансової звітності та ретроспективне підвищення ставки податку на прибуток із 25% до 50%.</v>
      </c>
      <c r="D31" s="143"/>
      <c r="E31" s="143"/>
      <c r="F31" s="143"/>
      <c r="G31" s="143"/>
      <c r="H31" s="168"/>
      <c r="I31" s="168"/>
      <c r="J31" s="168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3"/>
      <c r="BM31" s="143"/>
      <c r="BN31" s="143"/>
      <c r="BO31" s="143"/>
      <c r="BP31" s="143"/>
      <c r="BQ31" s="143"/>
      <c r="BR31" s="143"/>
      <c r="BS31" s="143"/>
      <c r="BT31" s="143"/>
      <c r="BU31" s="143"/>
      <c r="BV31" s="143"/>
      <c r="BW31" s="143"/>
      <c r="BX31" s="143"/>
      <c r="BY31" s="143"/>
      <c r="BZ31" s="143"/>
      <c r="CA31" s="143"/>
      <c r="CB31" s="143"/>
      <c r="CC31" s="143"/>
      <c r="CD31" s="143"/>
      <c r="CE31" s="143"/>
    </row>
    <row r="32" spans="1:112" x14ac:dyDescent="0.25">
      <c r="A32" s="143"/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3"/>
      <c r="BF32" s="143"/>
      <c r="BG32" s="143"/>
      <c r="BH32" s="143"/>
      <c r="BI32" s="143"/>
      <c r="BJ32" s="143"/>
      <c r="BK32" s="143"/>
      <c r="BL32" s="143"/>
      <c r="BM32" s="143"/>
      <c r="BN32" s="143"/>
      <c r="BO32" s="143"/>
      <c r="BP32" s="143"/>
      <c r="BQ32" s="143"/>
      <c r="BR32" s="143"/>
      <c r="BS32" s="143"/>
      <c r="BT32" s="143"/>
      <c r="BU32" s="143"/>
      <c r="BV32" s="143"/>
      <c r="BW32" s="143"/>
      <c r="BX32" s="143"/>
      <c r="BY32" s="143"/>
      <c r="BZ32" s="143"/>
      <c r="CA32" s="143"/>
      <c r="CB32" s="143"/>
      <c r="CC32" s="143"/>
      <c r="CD32" s="143"/>
      <c r="CE32" s="143"/>
    </row>
    <row r="33" spans="1:94" x14ac:dyDescent="0.25">
      <c r="A33" s="143"/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3"/>
      <c r="BF33" s="143"/>
      <c r="BG33" s="143"/>
      <c r="BH33" s="143"/>
      <c r="BI33" s="143"/>
      <c r="BJ33" s="143"/>
      <c r="BK33" s="143"/>
      <c r="BL33" s="143"/>
      <c r="BM33" s="143"/>
      <c r="BN33" s="143"/>
      <c r="BO33" s="143"/>
      <c r="BP33" s="143"/>
      <c r="BQ33" s="143"/>
      <c r="BR33" s="143"/>
      <c r="BS33" s="143"/>
      <c r="BT33" s="143"/>
      <c r="BU33" s="143"/>
      <c r="BV33" s="143"/>
      <c r="BW33" s="143"/>
      <c r="BX33" s="143"/>
      <c r="BY33" s="143"/>
      <c r="BZ33" s="143"/>
      <c r="CA33" s="143"/>
      <c r="CB33" s="143"/>
      <c r="CC33" s="143"/>
      <c r="CD33" s="143"/>
      <c r="CE33" s="143"/>
      <c r="CP33" s="157"/>
    </row>
    <row r="34" spans="1:94" x14ac:dyDescent="0.25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143"/>
      <c r="BN34" s="143"/>
      <c r="BO34" s="143"/>
      <c r="BP34" s="143"/>
      <c r="BQ34" s="143"/>
      <c r="BR34" s="143"/>
      <c r="BS34" s="143"/>
      <c r="BT34" s="143"/>
      <c r="BU34" s="143"/>
      <c r="BV34" s="143"/>
      <c r="BW34" s="143"/>
      <c r="BX34" s="143"/>
      <c r="BY34" s="143"/>
      <c r="BZ34" s="143"/>
      <c r="CA34" s="143"/>
      <c r="CB34" s="143"/>
      <c r="CC34" s="143"/>
      <c r="CD34" s="143"/>
      <c r="CE34" s="143"/>
      <c r="CP34" s="158"/>
    </row>
    <row r="35" spans="1:94" x14ac:dyDescent="0.25">
      <c r="E35" s="158"/>
      <c r="F35" s="158"/>
      <c r="G35" s="158"/>
      <c r="H35" s="176"/>
      <c r="I35" s="176"/>
      <c r="J35" s="176"/>
      <c r="K35" s="158"/>
      <c r="L35" s="158"/>
      <c r="M35" s="158"/>
      <c r="N35" s="158"/>
      <c r="O35" s="176"/>
      <c r="P35" s="176"/>
      <c r="Q35" s="176"/>
      <c r="R35" s="158"/>
      <c r="T35" s="158"/>
      <c r="U35" s="158"/>
      <c r="V35" s="158"/>
      <c r="W35" s="176"/>
      <c r="X35" s="176"/>
      <c r="Y35" s="176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76"/>
      <c r="AK35" s="176"/>
      <c r="AL35" s="176"/>
      <c r="AM35" s="176"/>
      <c r="AN35" s="176"/>
      <c r="AO35" s="176"/>
      <c r="AP35" s="176"/>
      <c r="AQ35" s="176"/>
      <c r="AR35" s="176"/>
      <c r="AS35" s="158"/>
      <c r="AT35" s="158"/>
      <c r="AU35" s="158"/>
      <c r="AV35" s="158"/>
      <c r="AW35" s="158"/>
      <c r="AX35" s="158"/>
      <c r="AY35" s="158"/>
      <c r="AZ35" s="158"/>
      <c r="BA35" s="158"/>
      <c r="BB35" s="158"/>
      <c r="BC35" s="158"/>
      <c r="BD35" s="158"/>
      <c r="BE35" s="176"/>
      <c r="BF35" s="176"/>
      <c r="BG35" s="176"/>
      <c r="BH35" s="176"/>
      <c r="BI35" s="176"/>
      <c r="BJ35" s="176"/>
      <c r="BK35" s="176"/>
      <c r="BL35" s="176"/>
      <c r="BM35" s="176"/>
      <c r="BN35" s="158"/>
      <c r="BO35" s="158"/>
      <c r="BP35" s="158"/>
      <c r="BQ35" s="176"/>
      <c r="BR35" s="176"/>
      <c r="BS35" s="152"/>
      <c r="BT35" s="176"/>
      <c r="BU35" s="176"/>
      <c r="BV35" s="152"/>
      <c r="BW35" s="176"/>
      <c r="BX35" s="176"/>
      <c r="BY35" s="152"/>
      <c r="BZ35" s="176"/>
      <c r="CA35" s="176"/>
      <c r="CB35" s="152"/>
      <c r="CC35" s="176"/>
      <c r="CD35" s="176"/>
      <c r="CE35" s="176"/>
    </row>
    <row r="36" spans="1:94" x14ac:dyDescent="0.25">
      <c r="E36" s="158"/>
      <c r="F36" s="158"/>
      <c r="G36" s="158"/>
      <c r="H36" s="176"/>
      <c r="I36" s="176"/>
      <c r="J36" s="176"/>
      <c r="K36" s="158"/>
      <c r="L36" s="158"/>
      <c r="M36" s="158"/>
      <c r="N36" s="158"/>
      <c r="O36" s="176"/>
      <c r="P36" s="176"/>
      <c r="Q36" s="176"/>
      <c r="R36" s="158"/>
      <c r="T36" s="158"/>
      <c r="U36" s="158"/>
      <c r="V36" s="158"/>
      <c r="W36" s="176"/>
      <c r="X36" s="176"/>
      <c r="Y36" s="176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76"/>
      <c r="AK36" s="176"/>
      <c r="AL36" s="176"/>
      <c r="AM36" s="176"/>
      <c r="AN36" s="176"/>
      <c r="AO36" s="176"/>
      <c r="AP36" s="176"/>
      <c r="AQ36" s="176"/>
      <c r="AR36" s="176"/>
      <c r="AS36" s="158"/>
      <c r="AT36" s="158"/>
      <c r="AU36" s="158"/>
      <c r="AV36" s="158"/>
      <c r="AW36" s="158"/>
      <c r="AX36" s="158"/>
      <c r="AY36" s="158"/>
      <c r="AZ36" s="158"/>
      <c r="BA36" s="158"/>
      <c r="BB36" s="158"/>
      <c r="BC36" s="158"/>
      <c r="BD36" s="158"/>
      <c r="BE36" s="176"/>
      <c r="BF36" s="176"/>
      <c r="BG36" s="176"/>
      <c r="BH36" s="176"/>
      <c r="BI36" s="176"/>
      <c r="BJ36" s="176"/>
      <c r="BK36" s="176"/>
      <c r="BL36" s="176"/>
      <c r="BM36" s="176"/>
      <c r="BN36" s="158"/>
      <c r="BO36" s="158"/>
      <c r="BP36" s="158"/>
      <c r="BQ36" s="176"/>
      <c r="BR36" s="176"/>
      <c r="BS36" s="152"/>
      <c r="BT36" s="176"/>
      <c r="BU36" s="176"/>
      <c r="BV36" s="152"/>
      <c r="BW36" s="176"/>
      <c r="BX36" s="176"/>
      <c r="BY36" s="152"/>
      <c r="BZ36" s="176"/>
      <c r="CA36" s="176"/>
      <c r="CB36" s="152"/>
      <c r="CC36" s="176"/>
      <c r="CD36" s="176"/>
      <c r="CE36" s="176"/>
    </row>
    <row r="37" spans="1:94" x14ac:dyDescent="0.25">
      <c r="E37" s="158"/>
      <c r="F37" s="158"/>
      <c r="G37" s="158"/>
      <c r="H37" s="176"/>
      <c r="I37" s="176"/>
      <c r="J37" s="176"/>
      <c r="K37" s="158"/>
      <c r="L37" s="158"/>
      <c r="M37" s="158"/>
      <c r="N37" s="158"/>
      <c r="O37" s="176"/>
      <c r="P37" s="176"/>
      <c r="Q37" s="176"/>
      <c r="R37" s="158"/>
      <c r="T37" s="158"/>
      <c r="U37" s="158"/>
      <c r="V37" s="158"/>
      <c r="W37" s="176"/>
      <c r="X37" s="176"/>
      <c r="Y37" s="176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76"/>
      <c r="AK37" s="176"/>
      <c r="AL37" s="176"/>
      <c r="AM37" s="176"/>
      <c r="AN37" s="176"/>
      <c r="AO37" s="176"/>
      <c r="AP37" s="176"/>
      <c r="AQ37" s="176"/>
      <c r="AR37" s="176"/>
      <c r="AS37" s="158"/>
      <c r="AT37" s="158"/>
      <c r="AU37" s="158"/>
      <c r="AV37" s="158"/>
      <c r="AW37" s="158"/>
      <c r="AX37" s="158"/>
      <c r="AY37" s="158"/>
      <c r="AZ37" s="158"/>
      <c r="BA37" s="158"/>
      <c r="BB37" s="158"/>
      <c r="BC37" s="158"/>
      <c r="BD37" s="158"/>
      <c r="BE37" s="176"/>
      <c r="BF37" s="176"/>
      <c r="BG37" s="176"/>
      <c r="BH37" s="176"/>
      <c r="BI37" s="176"/>
      <c r="BJ37" s="176"/>
      <c r="BK37" s="176"/>
      <c r="BL37" s="176"/>
      <c r="BM37" s="176"/>
      <c r="BN37" s="158"/>
      <c r="BO37" s="158"/>
      <c r="BP37" s="158"/>
      <c r="BQ37" s="176"/>
      <c r="BR37" s="176"/>
      <c r="BS37" s="152"/>
      <c r="BT37" s="176"/>
      <c r="BU37" s="176"/>
      <c r="BV37" s="152"/>
      <c r="BW37" s="176"/>
      <c r="BX37" s="176"/>
      <c r="BY37" s="176"/>
      <c r="BZ37" s="176"/>
      <c r="CA37" s="176"/>
      <c r="CB37" s="176"/>
      <c r="CC37" s="176"/>
      <c r="CD37" s="176"/>
      <c r="CE37" s="176"/>
    </row>
    <row r="38" spans="1:94" x14ac:dyDescent="0.25">
      <c r="E38" s="158"/>
      <c r="F38" s="158"/>
      <c r="G38" s="158"/>
      <c r="H38" s="176"/>
      <c r="I38" s="176"/>
      <c r="J38" s="176"/>
      <c r="K38" s="158"/>
      <c r="L38" s="158"/>
      <c r="M38" s="158"/>
      <c r="N38" s="158"/>
      <c r="O38" s="176"/>
      <c r="P38" s="176"/>
      <c r="Q38" s="176"/>
      <c r="R38" s="158"/>
      <c r="T38" s="158"/>
      <c r="U38" s="158"/>
      <c r="V38" s="158"/>
      <c r="W38" s="176"/>
      <c r="X38" s="176"/>
      <c r="Y38" s="176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76"/>
      <c r="AK38" s="176"/>
      <c r="AL38" s="176"/>
      <c r="AM38" s="176"/>
      <c r="AN38" s="176"/>
      <c r="AO38" s="176"/>
      <c r="AP38" s="176"/>
      <c r="AQ38" s="176"/>
      <c r="AR38" s="176"/>
      <c r="AS38" s="158"/>
      <c r="AT38" s="158"/>
      <c r="AU38" s="158"/>
      <c r="AV38" s="158"/>
      <c r="AW38" s="158"/>
      <c r="AX38" s="158"/>
      <c r="AY38" s="158"/>
      <c r="AZ38" s="158"/>
      <c r="BA38" s="158"/>
      <c r="BB38" s="158"/>
      <c r="BC38" s="158"/>
      <c r="BD38" s="158"/>
      <c r="BE38" s="176"/>
      <c r="BF38" s="176"/>
      <c r="BG38" s="176"/>
      <c r="BH38" s="176"/>
      <c r="BI38" s="176"/>
      <c r="BJ38" s="176"/>
      <c r="BK38" s="176"/>
      <c r="BL38" s="176"/>
      <c r="BM38" s="176"/>
      <c r="BN38" s="158"/>
      <c r="BO38" s="158"/>
      <c r="BP38" s="158"/>
      <c r="BQ38" s="176"/>
      <c r="BR38" s="176"/>
      <c r="BS38" s="152"/>
      <c r="BT38" s="176"/>
      <c r="BU38" s="176"/>
      <c r="BV38" s="152"/>
      <c r="BW38" s="176"/>
      <c r="BX38" s="176"/>
      <c r="BY38" s="152"/>
      <c r="BZ38" s="176"/>
      <c r="CA38" s="176"/>
      <c r="CB38" s="152"/>
      <c r="CC38" s="176"/>
      <c r="CD38" s="176"/>
      <c r="CE38" s="176"/>
    </row>
    <row r="39" spans="1:94" x14ac:dyDescent="0.25">
      <c r="E39" s="158"/>
      <c r="F39" s="158"/>
      <c r="G39" s="158"/>
      <c r="H39" s="176"/>
      <c r="I39" s="176"/>
      <c r="J39" s="176"/>
      <c r="K39" s="158"/>
      <c r="L39" s="158"/>
      <c r="M39" s="158"/>
      <c r="N39" s="158"/>
      <c r="O39" s="176"/>
      <c r="P39" s="176"/>
      <c r="Q39" s="176"/>
      <c r="R39" s="158"/>
      <c r="T39" s="158"/>
      <c r="U39" s="158"/>
      <c r="V39" s="158"/>
      <c r="W39" s="176"/>
      <c r="X39" s="176"/>
      <c r="Y39" s="176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76"/>
      <c r="AK39" s="176"/>
      <c r="AL39" s="176"/>
      <c r="AM39" s="176"/>
      <c r="AN39" s="176"/>
      <c r="AO39" s="176"/>
      <c r="AP39" s="176"/>
      <c r="AQ39" s="176"/>
      <c r="AR39" s="176"/>
      <c r="AS39" s="158"/>
      <c r="AT39" s="158"/>
      <c r="AU39" s="158"/>
      <c r="AV39" s="158"/>
      <c r="AW39" s="158"/>
      <c r="AX39" s="158"/>
      <c r="AY39" s="158"/>
      <c r="AZ39" s="158"/>
      <c r="BA39" s="158"/>
      <c r="BB39" s="158"/>
      <c r="BC39" s="158"/>
      <c r="BD39" s="158"/>
      <c r="BE39" s="176"/>
      <c r="BF39" s="176"/>
      <c r="BG39" s="176"/>
      <c r="BH39" s="176"/>
      <c r="BI39" s="176"/>
      <c r="BJ39" s="176"/>
      <c r="BK39" s="176"/>
      <c r="BL39" s="176"/>
      <c r="BM39" s="176"/>
      <c r="BN39" s="158"/>
      <c r="BO39" s="158"/>
      <c r="BP39" s="158"/>
      <c r="BQ39" s="176"/>
      <c r="BR39" s="176"/>
      <c r="BS39" s="152"/>
      <c r="BT39" s="176"/>
      <c r="BU39" s="176"/>
      <c r="BV39" s="152"/>
      <c r="BW39" s="176"/>
      <c r="BX39" s="176"/>
      <c r="BY39" s="176"/>
      <c r="BZ39" s="176"/>
      <c r="CA39" s="176"/>
      <c r="CB39" s="176"/>
      <c r="CC39" s="176"/>
      <c r="CD39" s="176"/>
      <c r="CE39" s="176"/>
    </row>
    <row r="40" spans="1:94" x14ac:dyDescent="0.25">
      <c r="E40" s="158"/>
      <c r="F40" s="158"/>
      <c r="G40" s="158"/>
      <c r="H40" s="176"/>
      <c r="I40" s="176"/>
      <c r="J40" s="176"/>
      <c r="K40" s="158"/>
      <c r="L40" s="158"/>
      <c r="M40" s="158"/>
      <c r="N40" s="158"/>
      <c r="O40" s="176"/>
      <c r="P40" s="176"/>
      <c r="Q40" s="176"/>
      <c r="R40" s="158"/>
      <c r="T40" s="158"/>
      <c r="U40" s="158"/>
      <c r="V40" s="158"/>
      <c r="W40" s="176"/>
      <c r="X40" s="176"/>
      <c r="Y40" s="176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76"/>
      <c r="AK40" s="176"/>
      <c r="AL40" s="176"/>
      <c r="AM40" s="176"/>
      <c r="AN40" s="176"/>
      <c r="AO40" s="176"/>
      <c r="AP40" s="176"/>
      <c r="AQ40" s="176"/>
      <c r="AR40" s="176"/>
      <c r="AS40" s="158"/>
      <c r="AT40" s="158"/>
      <c r="AU40" s="158"/>
      <c r="AV40" s="158"/>
      <c r="AW40" s="158"/>
      <c r="AX40" s="158"/>
      <c r="AY40" s="158"/>
      <c r="AZ40" s="158"/>
      <c r="BA40" s="158"/>
      <c r="BB40" s="158"/>
      <c r="BC40" s="158"/>
      <c r="BD40" s="158"/>
      <c r="BE40" s="176"/>
      <c r="BF40" s="176"/>
      <c r="BG40" s="176"/>
      <c r="BH40" s="176"/>
      <c r="BI40" s="176"/>
      <c r="BJ40" s="176"/>
      <c r="BK40" s="176"/>
      <c r="BL40" s="176"/>
      <c r="BM40" s="176"/>
      <c r="BN40" s="158"/>
      <c r="BO40" s="158"/>
      <c r="BP40" s="158"/>
      <c r="BQ40" s="176"/>
      <c r="BR40" s="176"/>
      <c r="BS40" s="152"/>
      <c r="BT40" s="176"/>
      <c r="BU40" s="176"/>
      <c r="BV40" s="152"/>
      <c r="BW40" s="176"/>
      <c r="BX40" s="176"/>
      <c r="BY40" s="152"/>
      <c r="BZ40" s="176"/>
      <c r="CA40" s="176"/>
      <c r="CB40" s="152"/>
      <c r="CC40" s="176"/>
      <c r="CD40" s="176"/>
      <c r="CE40" s="176"/>
    </row>
    <row r="41" spans="1:94" x14ac:dyDescent="0.25">
      <c r="E41" s="158"/>
      <c r="F41" s="158"/>
      <c r="G41" s="158"/>
      <c r="H41" s="176"/>
      <c r="I41" s="176"/>
      <c r="J41" s="176"/>
      <c r="K41" s="158"/>
      <c r="L41" s="158"/>
      <c r="M41" s="158"/>
      <c r="N41" s="158"/>
      <c r="O41" s="176"/>
      <c r="P41" s="176"/>
      <c r="Q41" s="176"/>
      <c r="R41" s="158"/>
      <c r="T41" s="158"/>
      <c r="U41" s="158"/>
      <c r="V41" s="158"/>
      <c r="W41" s="176"/>
      <c r="X41" s="176"/>
      <c r="Y41" s="176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76"/>
      <c r="AK41" s="176"/>
      <c r="AL41" s="176"/>
      <c r="AM41" s="176"/>
      <c r="AN41" s="176"/>
      <c r="AO41" s="176"/>
      <c r="AP41" s="176"/>
      <c r="AQ41" s="176"/>
      <c r="AR41" s="176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76"/>
      <c r="BF41" s="176"/>
      <c r="BG41" s="176"/>
      <c r="BH41" s="176"/>
      <c r="BI41" s="176"/>
      <c r="BJ41" s="176"/>
      <c r="BK41" s="176"/>
      <c r="BL41" s="176"/>
      <c r="BM41" s="176"/>
      <c r="BN41" s="158"/>
      <c r="BO41" s="158"/>
      <c r="BP41" s="158"/>
      <c r="BQ41" s="176"/>
      <c r="BR41" s="176"/>
      <c r="BS41" s="152"/>
      <c r="BT41" s="176"/>
      <c r="BU41" s="176"/>
      <c r="BV41" s="152"/>
      <c r="BW41" s="176"/>
      <c r="BX41" s="176"/>
      <c r="BY41" s="152"/>
      <c r="BZ41" s="176"/>
      <c r="CA41" s="176"/>
      <c r="CB41" s="152"/>
      <c r="CC41" s="176"/>
      <c r="CD41" s="176"/>
      <c r="CE41" s="176"/>
    </row>
    <row r="42" spans="1:94" x14ac:dyDescent="0.25">
      <c r="E42" s="158"/>
      <c r="F42" s="158"/>
      <c r="G42" s="158"/>
      <c r="H42" s="176"/>
      <c r="I42" s="176"/>
      <c r="J42" s="176"/>
      <c r="K42" s="158"/>
      <c r="L42" s="158"/>
      <c r="M42" s="158"/>
      <c r="N42" s="158"/>
      <c r="O42" s="176"/>
      <c r="P42" s="176"/>
      <c r="Q42" s="176"/>
      <c r="R42" s="158"/>
      <c r="T42" s="158"/>
      <c r="U42" s="158"/>
      <c r="V42" s="158"/>
      <c r="W42" s="176"/>
      <c r="X42" s="176"/>
      <c r="Y42" s="176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76"/>
      <c r="AK42" s="176"/>
      <c r="AL42" s="176"/>
      <c r="AM42" s="176"/>
      <c r="AN42" s="176"/>
      <c r="AO42" s="176"/>
      <c r="AP42" s="176"/>
      <c r="AQ42" s="176"/>
      <c r="AR42" s="176"/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8"/>
      <c r="BD42" s="158"/>
      <c r="BE42" s="176"/>
      <c r="BF42" s="176"/>
      <c r="BG42" s="176"/>
      <c r="BH42" s="176"/>
      <c r="BI42" s="176"/>
      <c r="BJ42" s="176"/>
      <c r="BK42" s="176"/>
      <c r="BL42" s="176"/>
      <c r="BM42" s="176"/>
      <c r="BN42" s="158"/>
      <c r="BO42" s="158"/>
      <c r="BP42" s="158"/>
      <c r="BQ42" s="176"/>
      <c r="BR42" s="176"/>
      <c r="BS42" s="152"/>
      <c r="BT42" s="176"/>
      <c r="BU42" s="176"/>
      <c r="BV42" s="152"/>
      <c r="BW42" s="176"/>
      <c r="BX42" s="176"/>
      <c r="BY42" s="152"/>
      <c r="BZ42" s="176"/>
      <c r="CA42" s="176"/>
      <c r="CB42" s="152"/>
      <c r="CC42" s="176"/>
      <c r="CD42" s="176"/>
      <c r="CE42" s="176"/>
    </row>
    <row r="43" spans="1:94" x14ac:dyDescent="0.25">
      <c r="E43" s="158"/>
      <c r="F43" s="158"/>
      <c r="G43" s="158"/>
      <c r="H43" s="176"/>
      <c r="I43" s="176"/>
      <c r="J43" s="176"/>
      <c r="K43" s="158"/>
      <c r="L43" s="158"/>
      <c r="M43" s="158"/>
      <c r="N43" s="158"/>
      <c r="O43" s="176"/>
      <c r="P43" s="176"/>
      <c r="Q43" s="176"/>
      <c r="R43" s="158"/>
      <c r="T43" s="158"/>
      <c r="U43" s="158"/>
      <c r="V43" s="158"/>
      <c r="W43" s="176"/>
      <c r="X43" s="176"/>
      <c r="Y43" s="176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76"/>
      <c r="AK43" s="176"/>
      <c r="AL43" s="176"/>
      <c r="AM43" s="176"/>
      <c r="AN43" s="176"/>
      <c r="AO43" s="176"/>
      <c r="AP43" s="176"/>
      <c r="AQ43" s="176"/>
      <c r="AR43" s="176"/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8"/>
      <c r="BD43" s="158"/>
      <c r="BE43" s="176"/>
      <c r="BF43" s="176"/>
      <c r="BG43" s="176"/>
      <c r="BH43" s="176"/>
      <c r="BI43" s="176"/>
      <c r="BJ43" s="176"/>
      <c r="BK43" s="176"/>
      <c r="BL43" s="176"/>
      <c r="BM43" s="176"/>
      <c r="BN43" s="158"/>
      <c r="BO43" s="158"/>
      <c r="BP43" s="158"/>
      <c r="BQ43" s="176"/>
      <c r="BR43" s="176"/>
      <c r="BS43" s="152"/>
      <c r="BT43" s="176"/>
      <c r="BU43" s="176"/>
      <c r="BV43" s="152"/>
      <c r="BW43" s="176"/>
      <c r="BX43" s="176"/>
      <c r="BY43" s="152"/>
      <c r="BZ43" s="176"/>
      <c r="CA43" s="176"/>
      <c r="CB43" s="152"/>
      <c r="CC43" s="176"/>
      <c r="CD43" s="176"/>
      <c r="CE43" s="176"/>
    </row>
    <row r="44" spans="1:94" x14ac:dyDescent="0.25">
      <c r="E44" s="158"/>
      <c r="F44" s="158"/>
      <c r="G44" s="158"/>
      <c r="H44" s="176"/>
      <c r="I44" s="176"/>
      <c r="J44" s="176"/>
      <c r="K44" s="158"/>
      <c r="L44" s="158"/>
      <c r="M44" s="158"/>
      <c r="N44" s="158"/>
      <c r="O44" s="176"/>
      <c r="P44" s="176"/>
      <c r="Q44" s="176"/>
      <c r="R44" s="158"/>
      <c r="T44" s="158"/>
      <c r="U44" s="158"/>
      <c r="V44" s="158"/>
      <c r="W44" s="176"/>
      <c r="X44" s="176"/>
      <c r="Y44" s="176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76"/>
      <c r="AK44" s="176"/>
      <c r="AL44" s="176"/>
      <c r="AM44" s="176"/>
      <c r="AN44" s="176"/>
      <c r="AO44" s="176"/>
      <c r="AP44" s="176"/>
      <c r="AQ44" s="176"/>
      <c r="AR44" s="176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8"/>
      <c r="BD44" s="158"/>
      <c r="BE44" s="176"/>
      <c r="BF44" s="176"/>
      <c r="BG44" s="176"/>
      <c r="BH44" s="176"/>
      <c r="BI44" s="176"/>
      <c r="BJ44" s="176"/>
      <c r="BK44" s="176"/>
      <c r="BL44" s="176"/>
      <c r="BM44" s="176"/>
      <c r="BN44" s="158"/>
      <c r="BO44" s="158"/>
      <c r="BP44" s="158"/>
      <c r="BQ44" s="176"/>
      <c r="BR44" s="176"/>
      <c r="BS44" s="152"/>
      <c r="BT44" s="176"/>
      <c r="BU44" s="176"/>
      <c r="BV44" s="152"/>
      <c r="BW44" s="176"/>
      <c r="BX44" s="176"/>
      <c r="BY44" s="152"/>
      <c r="BZ44" s="176"/>
      <c r="CA44" s="176"/>
      <c r="CB44" s="152"/>
      <c r="CC44" s="176"/>
      <c r="CD44" s="176"/>
      <c r="CE44" s="176"/>
    </row>
    <row r="45" spans="1:94" x14ac:dyDescent="0.25">
      <c r="E45" s="158"/>
      <c r="F45" s="158"/>
      <c r="G45" s="158"/>
      <c r="H45" s="176"/>
      <c r="I45" s="176"/>
      <c r="J45" s="176"/>
      <c r="K45" s="158"/>
      <c r="L45" s="158"/>
      <c r="M45" s="158"/>
      <c r="N45" s="158"/>
      <c r="O45" s="176"/>
      <c r="P45" s="176"/>
      <c r="Q45" s="176"/>
      <c r="R45" s="158"/>
      <c r="T45" s="158"/>
      <c r="U45" s="158"/>
      <c r="V45" s="158"/>
      <c r="W45" s="176"/>
      <c r="X45" s="176"/>
      <c r="Y45" s="176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76"/>
      <c r="AK45" s="176"/>
      <c r="AL45" s="176"/>
      <c r="AM45" s="176"/>
      <c r="AN45" s="176"/>
      <c r="AO45" s="176"/>
      <c r="AP45" s="176"/>
      <c r="AQ45" s="176"/>
      <c r="AR45" s="176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76"/>
      <c r="BF45" s="176"/>
      <c r="BG45" s="176"/>
      <c r="BH45" s="176"/>
      <c r="BI45" s="176"/>
      <c r="BJ45" s="176"/>
      <c r="BK45" s="176"/>
      <c r="BL45" s="176"/>
      <c r="BM45" s="176"/>
      <c r="BN45" s="158"/>
      <c r="BO45" s="158"/>
      <c r="BP45" s="158"/>
      <c r="BQ45" s="176"/>
      <c r="BR45" s="176"/>
      <c r="BS45" s="152"/>
      <c r="BT45" s="176"/>
      <c r="BU45" s="176"/>
      <c r="BV45" s="152"/>
      <c r="BW45" s="176"/>
      <c r="BX45" s="176"/>
      <c r="BY45" s="152"/>
      <c r="BZ45" s="176"/>
      <c r="CA45" s="176"/>
      <c r="CB45" s="152"/>
      <c r="CC45" s="176"/>
      <c r="CD45" s="176"/>
      <c r="CE45" s="176"/>
    </row>
    <row r="46" spans="1:94" x14ac:dyDescent="0.25">
      <c r="E46" s="158"/>
      <c r="F46" s="158"/>
      <c r="G46" s="158"/>
      <c r="H46" s="176"/>
      <c r="I46" s="176"/>
      <c r="J46" s="176"/>
      <c r="K46" s="158"/>
      <c r="L46" s="158"/>
      <c r="M46" s="158"/>
      <c r="N46" s="158"/>
      <c r="O46" s="176"/>
      <c r="P46" s="176"/>
      <c r="Q46" s="176"/>
      <c r="R46" s="158"/>
      <c r="T46" s="158"/>
      <c r="U46" s="158"/>
      <c r="V46" s="158"/>
      <c r="W46" s="176"/>
      <c r="X46" s="176"/>
      <c r="Y46" s="176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76"/>
      <c r="AK46" s="176"/>
      <c r="AL46" s="176"/>
      <c r="AM46" s="176"/>
      <c r="AN46" s="176"/>
      <c r="AO46" s="176"/>
      <c r="AP46" s="176"/>
      <c r="AQ46" s="176"/>
      <c r="AR46" s="176"/>
      <c r="AS46" s="158"/>
      <c r="AT46" s="158"/>
      <c r="AU46" s="158"/>
      <c r="AV46" s="158"/>
      <c r="AW46" s="158"/>
      <c r="AX46" s="158"/>
      <c r="AY46" s="158"/>
      <c r="AZ46" s="158"/>
      <c r="BA46" s="158"/>
      <c r="BB46" s="158"/>
      <c r="BC46" s="158"/>
      <c r="BD46" s="158"/>
      <c r="BE46" s="176"/>
      <c r="BF46" s="176"/>
      <c r="BG46" s="176"/>
      <c r="BH46" s="176"/>
      <c r="BI46" s="176"/>
      <c r="BJ46" s="176"/>
      <c r="BK46" s="176"/>
      <c r="BL46" s="176"/>
      <c r="BM46" s="176"/>
      <c r="BN46" s="158"/>
      <c r="BO46" s="158"/>
      <c r="BP46" s="158"/>
      <c r="BQ46" s="176"/>
      <c r="BR46" s="176"/>
      <c r="BS46" s="176"/>
      <c r="BT46" s="176"/>
      <c r="BU46" s="176"/>
      <c r="BV46" s="176"/>
      <c r="BW46" s="176"/>
      <c r="BX46" s="176"/>
      <c r="BY46" s="176"/>
      <c r="BZ46" s="176"/>
      <c r="CA46" s="176"/>
      <c r="CB46" s="176"/>
      <c r="CC46" s="176"/>
      <c r="CD46" s="176"/>
      <c r="CE46" s="176"/>
    </row>
    <row r="47" spans="1:94" x14ac:dyDescent="0.25">
      <c r="E47" s="158"/>
      <c r="F47" s="158"/>
      <c r="G47" s="158"/>
      <c r="H47" s="176"/>
      <c r="I47" s="176"/>
      <c r="J47" s="176"/>
      <c r="K47" s="158"/>
      <c r="L47" s="158"/>
      <c r="M47" s="158"/>
      <c r="N47" s="158"/>
      <c r="O47" s="176"/>
      <c r="P47" s="176"/>
      <c r="Q47" s="176"/>
      <c r="R47" s="158"/>
      <c r="T47" s="158"/>
      <c r="U47" s="158"/>
      <c r="V47" s="158"/>
      <c r="W47" s="176"/>
      <c r="X47" s="176"/>
      <c r="Y47" s="176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76"/>
      <c r="AK47" s="176"/>
      <c r="AL47" s="176"/>
      <c r="AM47" s="176"/>
      <c r="AN47" s="176"/>
      <c r="AO47" s="176"/>
      <c r="AP47" s="176"/>
      <c r="AQ47" s="176"/>
      <c r="AR47" s="176"/>
      <c r="AS47" s="158"/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  <c r="BD47" s="158"/>
      <c r="BE47" s="176"/>
      <c r="BF47" s="176"/>
      <c r="BG47" s="176"/>
      <c r="BH47" s="176"/>
      <c r="BI47" s="176"/>
      <c r="BJ47" s="176"/>
      <c r="BK47" s="176"/>
      <c r="BL47" s="176"/>
      <c r="BM47" s="176"/>
      <c r="BN47" s="158"/>
      <c r="BO47" s="158"/>
      <c r="BP47" s="158"/>
      <c r="BQ47" s="176"/>
      <c r="BR47" s="176"/>
      <c r="BS47" s="152"/>
      <c r="BT47" s="176"/>
      <c r="BU47" s="176"/>
      <c r="BV47" s="152"/>
      <c r="BW47" s="176"/>
      <c r="BX47" s="176"/>
      <c r="BY47" s="152"/>
      <c r="BZ47" s="176"/>
      <c r="CA47" s="176"/>
      <c r="CB47" s="152"/>
      <c r="CC47" s="176"/>
      <c r="CD47" s="176"/>
      <c r="CE47" s="176"/>
    </row>
    <row r="48" spans="1:94" x14ac:dyDescent="0.25">
      <c r="E48" s="158"/>
      <c r="F48" s="158"/>
      <c r="G48" s="158"/>
      <c r="H48" s="176"/>
      <c r="I48" s="176"/>
      <c r="J48" s="176"/>
      <c r="K48" s="158"/>
      <c r="L48" s="158"/>
      <c r="M48" s="158"/>
      <c r="N48" s="158"/>
      <c r="O48" s="176"/>
      <c r="P48" s="176"/>
      <c r="Q48" s="176"/>
      <c r="R48" s="158"/>
      <c r="T48" s="158"/>
      <c r="U48" s="158"/>
      <c r="V48" s="158"/>
      <c r="W48" s="176"/>
      <c r="X48" s="176"/>
      <c r="Y48" s="176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76"/>
      <c r="AK48" s="176"/>
      <c r="AL48" s="176"/>
      <c r="AM48" s="176"/>
      <c r="AN48" s="176"/>
      <c r="AO48" s="176"/>
      <c r="AP48" s="176"/>
      <c r="AQ48" s="176"/>
      <c r="AR48" s="176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76"/>
      <c r="BF48" s="176"/>
      <c r="BG48" s="176"/>
      <c r="BH48" s="176"/>
      <c r="BI48" s="176"/>
      <c r="BJ48" s="176"/>
      <c r="BK48" s="176"/>
      <c r="BL48" s="176"/>
      <c r="BM48" s="176"/>
      <c r="BN48" s="158"/>
      <c r="BO48" s="158"/>
      <c r="BP48" s="158"/>
      <c r="BQ48" s="176"/>
      <c r="BR48" s="176"/>
      <c r="BS48" s="152"/>
      <c r="BT48" s="176"/>
      <c r="BU48" s="176"/>
      <c r="BV48" s="152"/>
      <c r="BW48" s="176"/>
      <c r="BX48" s="176"/>
      <c r="BY48" s="152"/>
      <c r="BZ48" s="176"/>
      <c r="CA48" s="176"/>
      <c r="CB48" s="152"/>
      <c r="CC48" s="176"/>
      <c r="CD48" s="176"/>
      <c r="CE48" s="176"/>
    </row>
    <row r="49" spans="5:83" x14ac:dyDescent="0.25">
      <c r="E49" s="158"/>
      <c r="F49" s="158"/>
      <c r="G49" s="158"/>
      <c r="H49" s="176"/>
      <c r="I49" s="176"/>
      <c r="J49" s="176"/>
      <c r="K49" s="158"/>
      <c r="L49" s="158"/>
      <c r="M49" s="158"/>
      <c r="N49" s="158"/>
      <c r="O49" s="176"/>
      <c r="P49" s="176"/>
      <c r="Q49" s="176"/>
      <c r="R49" s="158"/>
      <c r="T49" s="158"/>
      <c r="U49" s="158"/>
      <c r="V49" s="158"/>
      <c r="W49" s="176"/>
      <c r="X49" s="176"/>
      <c r="Y49" s="176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76"/>
      <c r="AK49" s="176"/>
      <c r="AL49" s="176"/>
      <c r="AM49" s="176"/>
      <c r="AN49" s="176"/>
      <c r="AO49" s="176"/>
      <c r="AP49" s="176"/>
      <c r="AQ49" s="176"/>
      <c r="AR49" s="176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158"/>
      <c r="BD49" s="158"/>
      <c r="BE49" s="176"/>
      <c r="BF49" s="176"/>
      <c r="BG49" s="176"/>
      <c r="BH49" s="176"/>
      <c r="BI49" s="176"/>
      <c r="BJ49" s="176"/>
      <c r="BK49" s="176"/>
      <c r="BL49" s="176"/>
      <c r="BM49" s="176"/>
      <c r="BN49" s="158"/>
      <c r="BO49" s="158"/>
      <c r="BP49" s="158"/>
      <c r="BQ49" s="176"/>
      <c r="BR49" s="176"/>
      <c r="BS49" s="176"/>
      <c r="BT49" s="176"/>
      <c r="BU49" s="176"/>
      <c r="BV49" s="152"/>
      <c r="BW49" s="176"/>
      <c r="BX49" s="176"/>
      <c r="BY49" s="176"/>
      <c r="BZ49" s="176"/>
      <c r="CA49" s="176"/>
      <c r="CB49" s="176"/>
      <c r="CC49" s="176"/>
      <c r="CD49" s="176"/>
      <c r="CE49" s="176"/>
    </row>
    <row r="50" spans="5:83" x14ac:dyDescent="0.25">
      <c r="E50" s="158"/>
      <c r="F50" s="158"/>
      <c r="G50" s="158"/>
      <c r="H50" s="176"/>
      <c r="I50" s="176"/>
      <c r="J50" s="176"/>
      <c r="K50" s="158"/>
      <c r="L50" s="158"/>
      <c r="M50" s="158"/>
      <c r="N50" s="158"/>
      <c r="O50" s="176"/>
      <c r="P50" s="176"/>
      <c r="Q50" s="176"/>
      <c r="R50" s="158"/>
      <c r="T50" s="158"/>
      <c r="U50" s="158"/>
      <c r="V50" s="158"/>
      <c r="W50" s="176"/>
      <c r="X50" s="176"/>
      <c r="Y50" s="176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76"/>
      <c r="AK50" s="176"/>
      <c r="AL50" s="176"/>
      <c r="AM50" s="176"/>
      <c r="AN50" s="176"/>
      <c r="AO50" s="176"/>
      <c r="AP50" s="176"/>
      <c r="AQ50" s="176"/>
      <c r="AR50" s="176"/>
      <c r="AS50" s="158"/>
      <c r="AT50" s="158"/>
      <c r="AU50" s="158"/>
      <c r="AV50" s="158"/>
      <c r="AW50" s="158"/>
      <c r="AX50" s="158"/>
      <c r="AY50" s="158"/>
      <c r="AZ50" s="158"/>
      <c r="BA50" s="158"/>
      <c r="BB50" s="158"/>
      <c r="BC50" s="158"/>
      <c r="BD50" s="158"/>
      <c r="BE50" s="176"/>
      <c r="BF50" s="176"/>
      <c r="BG50" s="176"/>
      <c r="BH50" s="176"/>
      <c r="BI50" s="176"/>
      <c r="BJ50" s="176"/>
      <c r="BK50" s="176"/>
      <c r="BL50" s="176"/>
      <c r="BM50" s="176"/>
      <c r="BN50" s="158"/>
      <c r="BO50" s="158"/>
      <c r="BP50" s="158"/>
      <c r="BQ50" s="176"/>
      <c r="BR50" s="176"/>
      <c r="BS50" s="152"/>
      <c r="BT50" s="176"/>
      <c r="BU50" s="176"/>
      <c r="BV50" s="152"/>
      <c r="BW50" s="176"/>
      <c r="BX50" s="176"/>
      <c r="BY50" s="152"/>
      <c r="BZ50" s="176"/>
      <c r="CA50" s="176"/>
      <c r="CB50" s="152"/>
      <c r="CC50" s="176"/>
      <c r="CD50" s="176"/>
      <c r="CE50" s="176"/>
    </row>
    <row r="51" spans="5:83" x14ac:dyDescent="0.25">
      <c r="E51" s="158"/>
      <c r="F51" s="158"/>
      <c r="G51" s="158"/>
      <c r="H51" s="176"/>
      <c r="I51" s="176"/>
      <c r="J51" s="176"/>
      <c r="K51" s="158"/>
      <c r="L51" s="158"/>
      <c r="M51" s="158"/>
      <c r="N51" s="158"/>
      <c r="O51" s="176"/>
      <c r="P51" s="176"/>
      <c r="Q51" s="176"/>
      <c r="R51" s="158"/>
      <c r="T51" s="158"/>
      <c r="U51" s="158"/>
      <c r="V51" s="158"/>
      <c r="W51" s="176"/>
      <c r="X51" s="176"/>
      <c r="Y51" s="176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76"/>
      <c r="AK51" s="176"/>
      <c r="AL51" s="176"/>
      <c r="AM51" s="176"/>
      <c r="AN51" s="176"/>
      <c r="AO51" s="176"/>
      <c r="AP51" s="176"/>
      <c r="AQ51" s="176"/>
      <c r="AR51" s="176"/>
      <c r="AS51" s="158"/>
      <c r="AT51" s="158"/>
      <c r="AU51" s="158"/>
      <c r="AV51" s="158"/>
      <c r="AW51" s="158"/>
      <c r="AX51" s="158"/>
      <c r="AY51" s="158"/>
      <c r="AZ51" s="158"/>
      <c r="BA51" s="158"/>
      <c r="BB51" s="158"/>
      <c r="BC51" s="158"/>
      <c r="BD51" s="158"/>
      <c r="BE51" s="176"/>
      <c r="BF51" s="176"/>
      <c r="BG51" s="176"/>
      <c r="BH51" s="176"/>
      <c r="BI51" s="176"/>
      <c r="BJ51" s="176"/>
      <c r="BK51" s="176"/>
      <c r="BL51" s="176"/>
      <c r="BM51" s="176"/>
      <c r="BN51" s="158"/>
      <c r="BO51" s="158"/>
      <c r="BP51" s="158"/>
      <c r="BQ51" s="176"/>
      <c r="BR51" s="176"/>
      <c r="BS51" s="176"/>
      <c r="BT51" s="176"/>
      <c r="BU51" s="176"/>
      <c r="BV51" s="152"/>
      <c r="BW51" s="176"/>
      <c r="BX51" s="176"/>
      <c r="BY51" s="176"/>
      <c r="BZ51" s="176"/>
      <c r="CA51" s="176"/>
      <c r="CB51" s="176"/>
      <c r="CC51" s="176"/>
      <c r="CD51" s="176"/>
      <c r="CE51" s="176"/>
    </row>
    <row r="52" spans="5:83" x14ac:dyDescent="0.25">
      <c r="E52" s="158"/>
      <c r="F52" s="158"/>
      <c r="G52" s="158"/>
      <c r="H52" s="176"/>
      <c r="I52" s="176"/>
      <c r="J52" s="176"/>
      <c r="K52" s="158"/>
      <c r="L52" s="158"/>
      <c r="M52" s="158"/>
      <c r="N52" s="158"/>
      <c r="O52" s="176"/>
      <c r="P52" s="176"/>
      <c r="Q52" s="176"/>
      <c r="R52" s="158"/>
      <c r="T52" s="158"/>
      <c r="U52" s="158"/>
      <c r="V52" s="158"/>
      <c r="W52" s="176"/>
      <c r="X52" s="176"/>
      <c r="Y52" s="176"/>
      <c r="Z52" s="158"/>
      <c r="AA52" s="158"/>
      <c r="AB52" s="158"/>
      <c r="AC52" s="158"/>
      <c r="AD52" s="158"/>
      <c r="AE52" s="158"/>
      <c r="AF52" s="158"/>
      <c r="AG52" s="158"/>
      <c r="AH52" s="158"/>
      <c r="AI52" s="158"/>
      <c r="AJ52" s="176"/>
      <c r="AK52" s="176"/>
      <c r="AL52" s="176"/>
      <c r="AM52" s="176"/>
      <c r="AN52" s="176"/>
      <c r="AO52" s="176"/>
      <c r="AP52" s="176"/>
      <c r="AQ52" s="176"/>
      <c r="AR52" s="176"/>
      <c r="AS52" s="158"/>
      <c r="AT52" s="158"/>
      <c r="AU52" s="158"/>
      <c r="AV52" s="158"/>
      <c r="AW52" s="158"/>
      <c r="AX52" s="158"/>
      <c r="AY52" s="158"/>
      <c r="AZ52" s="158"/>
      <c r="BA52" s="158"/>
      <c r="BB52" s="158"/>
      <c r="BC52" s="158"/>
      <c r="BD52" s="158"/>
      <c r="BE52" s="176"/>
      <c r="BF52" s="176"/>
      <c r="BG52" s="176"/>
      <c r="BH52" s="176"/>
      <c r="BI52" s="176"/>
      <c r="BJ52" s="176"/>
      <c r="BK52" s="176"/>
      <c r="BL52" s="176"/>
      <c r="BM52" s="176"/>
      <c r="BN52" s="158"/>
      <c r="BO52" s="158"/>
      <c r="BP52" s="158"/>
      <c r="BQ52" s="176"/>
      <c r="BR52" s="176"/>
      <c r="BS52" s="152"/>
      <c r="BT52" s="176"/>
      <c r="BU52" s="176"/>
      <c r="BV52" s="152"/>
      <c r="BW52" s="176"/>
      <c r="BX52" s="176"/>
      <c r="BY52" s="176"/>
      <c r="BZ52" s="176"/>
      <c r="CA52" s="176"/>
      <c r="CB52" s="176"/>
      <c r="CC52" s="176"/>
      <c r="CD52" s="176"/>
      <c r="CE52" s="176"/>
    </row>
    <row r="53" spans="5:83" x14ac:dyDescent="0.25">
      <c r="E53" s="158"/>
      <c r="F53" s="158"/>
      <c r="G53" s="158"/>
      <c r="H53" s="176"/>
      <c r="I53" s="176"/>
      <c r="J53" s="176"/>
      <c r="K53" s="158"/>
      <c r="L53" s="158"/>
      <c r="M53" s="158"/>
      <c r="N53" s="158"/>
      <c r="O53" s="176"/>
      <c r="P53" s="176"/>
      <c r="Q53" s="176"/>
      <c r="R53" s="158"/>
      <c r="T53" s="158"/>
      <c r="U53" s="158"/>
      <c r="V53" s="158"/>
      <c r="W53" s="176"/>
      <c r="X53" s="176"/>
      <c r="Y53" s="176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76"/>
      <c r="AK53" s="176"/>
      <c r="AL53" s="176"/>
      <c r="AM53" s="176"/>
      <c r="AN53" s="176"/>
      <c r="AO53" s="176"/>
      <c r="AP53" s="176"/>
      <c r="AQ53" s="176"/>
      <c r="AR53" s="176"/>
      <c r="AS53" s="158"/>
      <c r="AT53" s="158"/>
      <c r="AU53" s="158"/>
      <c r="AV53" s="158"/>
      <c r="AW53" s="158"/>
      <c r="AX53" s="158"/>
      <c r="AY53" s="158"/>
      <c r="AZ53" s="158"/>
      <c r="BA53" s="158"/>
      <c r="BB53" s="158"/>
      <c r="BC53" s="158"/>
      <c r="BD53" s="158"/>
      <c r="BE53" s="176"/>
      <c r="BF53" s="176"/>
      <c r="BG53" s="176"/>
      <c r="BH53" s="176"/>
      <c r="BI53" s="176"/>
      <c r="BJ53" s="176"/>
      <c r="BK53" s="176"/>
      <c r="BL53" s="176"/>
      <c r="BM53" s="176"/>
      <c r="BN53" s="158"/>
      <c r="BO53" s="158"/>
      <c r="BP53" s="158"/>
      <c r="BQ53" s="176"/>
      <c r="BR53" s="176"/>
      <c r="BS53" s="176"/>
      <c r="BT53" s="176"/>
      <c r="BU53" s="176"/>
      <c r="BV53" s="152"/>
      <c r="BW53" s="176"/>
      <c r="BX53" s="176"/>
      <c r="BY53" s="176"/>
      <c r="BZ53" s="176"/>
      <c r="CA53" s="176"/>
      <c r="CB53" s="176"/>
      <c r="CC53" s="176"/>
      <c r="CD53" s="176"/>
      <c r="CE53" s="176"/>
    </row>
    <row r="54" spans="5:83" x14ac:dyDescent="0.25">
      <c r="E54" s="158"/>
      <c r="F54" s="158"/>
      <c r="G54" s="158"/>
      <c r="H54" s="176"/>
      <c r="I54" s="176"/>
      <c r="J54" s="176"/>
      <c r="K54" s="158"/>
      <c r="L54" s="158"/>
      <c r="M54" s="158"/>
      <c r="N54" s="158"/>
      <c r="O54" s="176"/>
      <c r="P54" s="176"/>
      <c r="Q54" s="176"/>
      <c r="R54" s="158"/>
      <c r="T54" s="158"/>
      <c r="U54" s="158"/>
      <c r="V54" s="158"/>
      <c r="W54" s="176"/>
      <c r="X54" s="176"/>
      <c r="Y54" s="176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76"/>
      <c r="AK54" s="176"/>
      <c r="AL54" s="176"/>
      <c r="AM54" s="176"/>
      <c r="AN54" s="176"/>
      <c r="AO54" s="176"/>
      <c r="AP54" s="176"/>
      <c r="AQ54" s="176"/>
      <c r="AR54" s="176"/>
      <c r="AS54" s="158"/>
      <c r="AT54" s="158"/>
      <c r="AU54" s="158"/>
      <c r="AV54" s="158"/>
      <c r="AW54" s="158"/>
      <c r="AX54" s="158"/>
      <c r="AY54" s="158"/>
      <c r="AZ54" s="158"/>
      <c r="BA54" s="158"/>
      <c r="BB54" s="158"/>
      <c r="BC54" s="158"/>
      <c r="BD54" s="158"/>
      <c r="BE54" s="176"/>
      <c r="BF54" s="176"/>
      <c r="BG54" s="176"/>
      <c r="BH54" s="176"/>
      <c r="BI54" s="176"/>
      <c r="BJ54" s="176"/>
      <c r="BK54" s="176"/>
      <c r="BL54" s="176"/>
      <c r="BM54" s="176"/>
      <c r="BN54" s="158"/>
      <c r="BO54" s="158"/>
      <c r="BP54" s="158"/>
      <c r="BQ54" s="176"/>
      <c r="BR54" s="176"/>
      <c r="BS54" s="152"/>
      <c r="BT54" s="176"/>
      <c r="BU54" s="176"/>
      <c r="BV54" s="152"/>
      <c r="BW54" s="176"/>
      <c r="BX54" s="176"/>
      <c r="BY54" s="176"/>
      <c r="BZ54" s="176"/>
      <c r="CA54" s="176"/>
      <c r="CB54" s="176"/>
      <c r="CC54" s="176"/>
      <c r="CD54" s="176"/>
      <c r="CE54" s="176"/>
    </row>
    <row r="55" spans="5:83" x14ac:dyDescent="0.25">
      <c r="E55" s="158"/>
      <c r="F55" s="158"/>
      <c r="G55" s="158"/>
      <c r="H55" s="176"/>
      <c r="I55" s="176"/>
      <c r="J55" s="176"/>
      <c r="K55" s="158"/>
      <c r="L55" s="158"/>
      <c r="M55" s="158"/>
      <c r="N55" s="158"/>
      <c r="O55" s="176"/>
      <c r="P55" s="176"/>
      <c r="Q55" s="176"/>
      <c r="R55" s="158"/>
      <c r="T55" s="158"/>
      <c r="U55" s="158"/>
      <c r="V55" s="158"/>
      <c r="W55" s="176"/>
      <c r="X55" s="176"/>
      <c r="Y55" s="176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76"/>
      <c r="AK55" s="176"/>
      <c r="AL55" s="176"/>
      <c r="AM55" s="176"/>
      <c r="AN55" s="176"/>
      <c r="AO55" s="176"/>
      <c r="AP55" s="176"/>
      <c r="AQ55" s="176"/>
      <c r="AR55" s="176"/>
      <c r="AS55" s="158"/>
      <c r="AT55" s="158"/>
      <c r="AU55" s="158"/>
      <c r="AV55" s="158"/>
      <c r="AW55" s="158"/>
      <c r="AX55" s="158"/>
      <c r="AY55" s="158"/>
      <c r="AZ55" s="158"/>
      <c r="BA55" s="158"/>
      <c r="BB55" s="158"/>
      <c r="BC55" s="158"/>
      <c r="BD55" s="158"/>
      <c r="BE55" s="176"/>
      <c r="BF55" s="176"/>
      <c r="BG55" s="176"/>
      <c r="BH55" s="176"/>
      <c r="BI55" s="176"/>
      <c r="BJ55" s="176"/>
      <c r="BK55" s="176"/>
      <c r="BL55" s="176"/>
      <c r="BM55" s="176"/>
      <c r="BN55" s="158"/>
      <c r="BO55" s="158"/>
      <c r="BP55" s="158"/>
      <c r="BQ55" s="176"/>
      <c r="BR55" s="176"/>
      <c r="BS55" s="152"/>
      <c r="BT55" s="176"/>
      <c r="BU55" s="176"/>
      <c r="BV55" s="152"/>
      <c r="BW55" s="176"/>
      <c r="BX55" s="176"/>
      <c r="BY55" s="176"/>
      <c r="BZ55" s="176"/>
      <c r="CA55" s="176"/>
      <c r="CB55" s="176"/>
      <c r="CC55" s="176"/>
      <c r="CD55" s="176"/>
      <c r="CE55" s="176"/>
    </row>
  </sheetData>
  <sheetProtection algorithmName="SHA-512" hashValue="8YeC7+XR/xTHn4gNuM7330JWZur9nC/7pjYvJ4X3hd6j9VnrHU6F/EMekEtavz6u2dByIPbVknDYHNuHSn8uUg==" saltValue="Y19yb8osx/HZHSMD6iDcyg==" spinCount="100000" sheet="1" objects="1" scenarios="1"/>
  <mergeCells count="67">
    <mergeCell ref="BT6:BV6"/>
    <mergeCell ref="CC6:CC8"/>
    <mergeCell ref="CD6:CD8"/>
    <mergeCell ref="CE6:CE8"/>
    <mergeCell ref="BH6:BJ6"/>
    <mergeCell ref="BN8:BP8"/>
    <mergeCell ref="CA7:CA8"/>
    <mergeCell ref="CB7:CB8"/>
    <mergeCell ref="BQ6:BS6"/>
    <mergeCell ref="BW6:BY6"/>
    <mergeCell ref="BZ6:CB6"/>
    <mergeCell ref="AA6:AC6"/>
    <mergeCell ref="AD6:AF6"/>
    <mergeCell ref="AG6:AI6"/>
    <mergeCell ref="AP6:AR6"/>
    <mergeCell ref="AM6:AO6"/>
    <mergeCell ref="AJ6:AL6"/>
    <mergeCell ref="BE6:BG6"/>
    <mergeCell ref="BN6:BP6"/>
    <mergeCell ref="AA8:AC8"/>
    <mergeCell ref="AD8:AF8"/>
    <mergeCell ref="AG8:AI8"/>
    <mergeCell ref="AP8:AR8"/>
    <mergeCell ref="AM8:AO8"/>
    <mergeCell ref="AJ8:AL8"/>
    <mergeCell ref="AS8:AU8"/>
    <mergeCell ref="AV8:AX8"/>
    <mergeCell ref="AS6:AU6"/>
    <mergeCell ref="AV6:AX6"/>
    <mergeCell ref="AY6:BA6"/>
    <mergeCell ref="BB6:BD6"/>
    <mergeCell ref="BK6:BM6"/>
    <mergeCell ref="AY8:BA8"/>
    <mergeCell ref="BB8:BD8"/>
    <mergeCell ref="BK8:BM8"/>
    <mergeCell ref="BH8:BJ8"/>
    <mergeCell ref="BE8:BG8"/>
    <mergeCell ref="BZ7:BZ8"/>
    <mergeCell ref="BQ7:BQ8"/>
    <mergeCell ref="BR7:BR8"/>
    <mergeCell ref="BS7:BS8"/>
    <mergeCell ref="BW7:BW8"/>
    <mergeCell ref="BX7:BX8"/>
    <mergeCell ref="BY7:BY8"/>
    <mergeCell ref="BT7:BT8"/>
    <mergeCell ref="BU7:BU8"/>
    <mergeCell ref="BV7:BV8"/>
    <mergeCell ref="CC4:CE5"/>
    <mergeCell ref="CF4:CH5"/>
    <mergeCell ref="CI4:CK5"/>
    <mergeCell ref="L4:R5"/>
    <mergeCell ref="AA4:AU5"/>
    <mergeCell ref="AV4:BP5"/>
    <mergeCell ref="BW4:CB5"/>
    <mergeCell ref="BQ4:BV5"/>
    <mergeCell ref="D4:D8"/>
    <mergeCell ref="S4:Z5"/>
    <mergeCell ref="S7:Y8"/>
    <mergeCell ref="A4:A8"/>
    <mergeCell ref="B4:B8"/>
    <mergeCell ref="C4:C8"/>
    <mergeCell ref="Z7:Z8"/>
    <mergeCell ref="L7:Q8"/>
    <mergeCell ref="E7:J8"/>
    <mergeCell ref="K7:K8"/>
    <mergeCell ref="R7:R8"/>
    <mergeCell ref="E4:K5"/>
  </mergeCells>
  <pageMargins left="0.7" right="0.7" top="0.75" bottom="0.75" header="0.3" footer="0.3"/>
  <pageSetup paperSize="9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7</xdr:col>
                    <xdr:colOff>693420</xdr:colOff>
                    <xdr:row>0</xdr:row>
                    <xdr:rowOff>0</xdr:rowOff>
                  </from>
                  <to>
                    <xdr:col>9</xdr:col>
                    <xdr:colOff>22860</xdr:colOff>
                    <xdr:row>1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81"/>
  <sheetViews>
    <sheetView zoomScaleNormal="100" workbookViewId="0"/>
  </sheetViews>
  <sheetFormatPr defaultColWidth="8.88671875" defaultRowHeight="13.2" x14ac:dyDescent="0.25"/>
  <cols>
    <col min="1" max="1" width="5.5546875" style="9" customWidth="1"/>
    <col min="2" max="2" width="6.5546875" style="9" customWidth="1"/>
    <col min="3" max="3" width="37.5546875" style="9" customWidth="1"/>
    <col min="4" max="4" width="29.33203125" style="9" customWidth="1"/>
    <col min="5" max="5" width="12.5546875" style="9" customWidth="1"/>
    <col min="6" max="6" width="13.88671875" style="9" customWidth="1"/>
    <col min="7" max="7" width="10.44140625" style="9" customWidth="1"/>
    <col min="8" max="8" width="8.88671875" style="9" customWidth="1"/>
    <col min="9" max="9" width="10.5546875" style="9" hidden="1" customWidth="1"/>
    <col min="10" max="10" width="14.5546875" style="9" customWidth="1"/>
    <col min="11" max="12" width="11.44140625" style="9" bestFit="1" customWidth="1"/>
    <col min="13" max="13" width="10.44140625" style="9" customWidth="1"/>
    <col min="14" max="14" width="9" style="9" customWidth="1"/>
    <col min="15" max="15" width="19.5546875" style="9" hidden="1" customWidth="1"/>
    <col min="16" max="21" width="11.44140625" style="9" bestFit="1" customWidth="1"/>
    <col min="22" max="26" width="9" style="9" bestFit="1" customWidth="1"/>
    <col min="27" max="27" width="9" style="9" customWidth="1"/>
    <col min="28" max="29" width="7.5546875" style="9" hidden="1" customWidth="1"/>
    <col min="30" max="30" width="10.88671875" style="9" hidden="1" customWidth="1"/>
    <col min="31" max="31" width="10.5546875" style="9" bestFit="1" customWidth="1"/>
    <col min="32" max="33" width="11.44140625" style="9" bestFit="1" customWidth="1"/>
    <col min="34" max="34" width="10.5546875" style="9" bestFit="1" customWidth="1"/>
    <col min="35" max="36" width="11.44140625" style="9" bestFit="1" customWidth="1"/>
    <col min="37" max="37" width="9" style="9" bestFit="1" customWidth="1"/>
    <col min="38" max="38" width="10.5546875" style="9" customWidth="1"/>
    <col min="39" max="39" width="9.5546875" style="9" bestFit="1" customWidth="1"/>
    <col min="40" max="40" width="9" style="9" bestFit="1" customWidth="1"/>
    <col min="41" max="41" width="9.5546875" style="9" bestFit="1" customWidth="1"/>
    <col min="42" max="42" width="9.109375" style="9" customWidth="1"/>
    <col min="43" max="43" width="7.5546875" style="9" hidden="1" customWidth="1"/>
    <col min="44" max="44" width="10.109375" style="9" hidden="1" customWidth="1"/>
    <col min="45" max="45" width="11.109375" style="9" hidden="1" customWidth="1"/>
    <col min="46" max="46" width="9.88671875" style="9" customWidth="1"/>
    <col min="47" max="47" width="14.44140625" style="9" customWidth="1"/>
    <col min="48" max="49" width="11.44140625" style="9" customWidth="1"/>
    <col min="50" max="50" width="12.88671875" style="9" customWidth="1"/>
    <col min="51" max="51" width="14.88671875" style="9" customWidth="1"/>
    <col min="52" max="53" width="13" style="9" customWidth="1"/>
    <col min="54" max="54" width="11.109375" style="9" bestFit="1" customWidth="1"/>
    <col min="55" max="55" width="9.44140625" style="9" bestFit="1" customWidth="1"/>
    <col min="56" max="16384" width="8.88671875" style="9"/>
  </cols>
  <sheetData>
    <row r="1" spans="1:58" x14ac:dyDescent="0.25">
      <c r="J1" s="8" t="str">
        <f>tech!J1</f>
        <v>UA</v>
      </c>
      <c r="K1" s="15" t="str">
        <f>IF($J$1="ENG","Змінити мову тут","Change language here")</f>
        <v>Change language here</v>
      </c>
    </row>
    <row r="2" spans="1:58" ht="14.4" customHeight="1" x14ac:dyDescent="0.25">
      <c r="B2" s="16" t="str">
        <f>IF($J$1="ENG","Results of stress test of banks and Ukrainian banking system","Результати стрес-тестування банків та банківської системи України")</f>
        <v>Результати стрес-тестування банків та банківської системи України</v>
      </c>
      <c r="C2" s="17"/>
      <c r="D2" s="18"/>
    </row>
    <row r="3" spans="1:58" s="121" customFormat="1" ht="10.199999999999999" x14ac:dyDescent="0.2">
      <c r="B3" s="178">
        <v>1</v>
      </c>
      <c r="C3" s="178">
        <f t="shared" ref="C3:E3" si="0">B3+1</f>
        <v>2</v>
      </c>
      <c r="D3" s="178">
        <f t="shared" si="0"/>
        <v>3</v>
      </c>
      <c r="E3" s="178">
        <f t="shared" si="0"/>
        <v>4</v>
      </c>
      <c r="F3" s="178">
        <f>E3+1</f>
        <v>5</v>
      </c>
      <c r="G3" s="178">
        <f t="shared" ref="G3:BA3" si="1">F3+1</f>
        <v>6</v>
      </c>
      <c r="H3" s="178">
        <f t="shared" si="1"/>
        <v>7</v>
      </c>
      <c r="I3" s="178">
        <f t="shared" si="1"/>
        <v>8</v>
      </c>
      <c r="J3" s="178">
        <f t="shared" si="1"/>
        <v>9</v>
      </c>
      <c r="K3" s="178">
        <f t="shared" si="1"/>
        <v>10</v>
      </c>
      <c r="L3" s="178">
        <f t="shared" si="1"/>
        <v>11</v>
      </c>
      <c r="M3" s="178">
        <f t="shared" si="1"/>
        <v>12</v>
      </c>
      <c r="N3" s="178">
        <f t="shared" si="1"/>
        <v>13</v>
      </c>
      <c r="O3" s="178">
        <f t="shared" si="1"/>
        <v>14</v>
      </c>
      <c r="P3" s="178">
        <f t="shared" si="1"/>
        <v>15</v>
      </c>
      <c r="Q3" s="178">
        <f t="shared" si="1"/>
        <v>16</v>
      </c>
      <c r="R3" s="178">
        <f t="shared" si="1"/>
        <v>17</v>
      </c>
      <c r="S3" s="178">
        <f t="shared" si="1"/>
        <v>18</v>
      </c>
      <c r="T3" s="178">
        <f t="shared" si="1"/>
        <v>19</v>
      </c>
      <c r="U3" s="178">
        <f t="shared" si="1"/>
        <v>20</v>
      </c>
      <c r="V3" s="178">
        <f t="shared" si="1"/>
        <v>21</v>
      </c>
      <c r="W3" s="178">
        <f t="shared" si="1"/>
        <v>22</v>
      </c>
      <c r="X3" s="178">
        <f t="shared" si="1"/>
        <v>23</v>
      </c>
      <c r="Y3" s="178">
        <f t="shared" si="1"/>
        <v>24</v>
      </c>
      <c r="Z3" s="178">
        <f t="shared" si="1"/>
        <v>25</v>
      </c>
      <c r="AA3" s="178">
        <f t="shared" si="1"/>
        <v>26</v>
      </c>
      <c r="AB3" s="178">
        <f t="shared" si="1"/>
        <v>27</v>
      </c>
      <c r="AC3" s="178">
        <f t="shared" si="1"/>
        <v>28</v>
      </c>
      <c r="AD3" s="178">
        <f t="shared" si="1"/>
        <v>29</v>
      </c>
      <c r="AE3" s="178">
        <f t="shared" si="1"/>
        <v>30</v>
      </c>
      <c r="AF3" s="178">
        <f t="shared" si="1"/>
        <v>31</v>
      </c>
      <c r="AG3" s="178">
        <f t="shared" si="1"/>
        <v>32</v>
      </c>
      <c r="AH3" s="178">
        <f t="shared" si="1"/>
        <v>33</v>
      </c>
      <c r="AI3" s="178">
        <f t="shared" si="1"/>
        <v>34</v>
      </c>
      <c r="AJ3" s="178">
        <f t="shared" si="1"/>
        <v>35</v>
      </c>
      <c r="AK3" s="178">
        <f t="shared" si="1"/>
        <v>36</v>
      </c>
      <c r="AL3" s="178">
        <f t="shared" si="1"/>
        <v>37</v>
      </c>
      <c r="AM3" s="178">
        <f t="shared" si="1"/>
        <v>38</v>
      </c>
      <c r="AN3" s="178">
        <f t="shared" si="1"/>
        <v>39</v>
      </c>
      <c r="AO3" s="178">
        <f t="shared" si="1"/>
        <v>40</v>
      </c>
      <c r="AP3" s="178">
        <f t="shared" si="1"/>
        <v>41</v>
      </c>
      <c r="AQ3" s="178">
        <f t="shared" si="1"/>
        <v>42</v>
      </c>
      <c r="AR3" s="178">
        <f t="shared" si="1"/>
        <v>43</v>
      </c>
      <c r="AS3" s="178">
        <f t="shared" si="1"/>
        <v>44</v>
      </c>
      <c r="AT3" s="178">
        <f t="shared" si="1"/>
        <v>45</v>
      </c>
      <c r="AU3" s="178">
        <f t="shared" si="1"/>
        <v>46</v>
      </c>
      <c r="AV3" s="178">
        <f t="shared" si="1"/>
        <v>47</v>
      </c>
      <c r="AW3" s="178">
        <f t="shared" si="1"/>
        <v>48</v>
      </c>
      <c r="AX3" s="178">
        <f t="shared" si="1"/>
        <v>49</v>
      </c>
      <c r="AY3" s="178">
        <f t="shared" si="1"/>
        <v>50</v>
      </c>
      <c r="AZ3" s="178">
        <f t="shared" si="1"/>
        <v>51</v>
      </c>
      <c r="BA3" s="178">
        <f t="shared" si="1"/>
        <v>52</v>
      </c>
    </row>
    <row r="4" spans="1:58" ht="36" customHeight="1" x14ac:dyDescent="0.25">
      <c r="A4" s="243" t="str">
        <f>IF($J$1="ENG","#","№ з/п")</f>
        <v>№ з/п</v>
      </c>
      <c r="B4" s="243" t="str">
        <f>IF($J$1="ENG","NKB","НКБ")</f>
        <v>НКБ</v>
      </c>
      <c r="C4" s="243" t="str">
        <f>IF($J$1="ENG","Name","Назва")</f>
        <v>Назва</v>
      </c>
      <c r="D4" s="243" t="str">
        <f>IF($J$1="ENG","Group","Група")</f>
        <v>Група</v>
      </c>
      <c r="E4" s="230" t="str">
        <f>IF($J$1="ENG","Bank's data","Дані банку")</f>
        <v>Дані банку</v>
      </c>
      <c r="F4" s="231"/>
      <c r="G4" s="231"/>
      <c r="H4" s="231"/>
      <c r="I4" s="241"/>
      <c r="J4" s="230" t="str">
        <f>IF($J$1="ENG","Asset quality review","Дані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екстраполяції")</f>
        <v>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</v>
      </c>
      <c r="K4" s="231"/>
      <c r="L4" s="231"/>
      <c r="M4" s="231"/>
      <c r="N4" s="231"/>
      <c r="O4" s="241"/>
      <c r="P4" s="230" t="str">
        <f>IF($J$1="ENG","Baseline scenario","За базовим макроекономічним сценарієм")</f>
        <v>За базовим макроекономічним сценарієм</v>
      </c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0" t="str">
        <f>IF($J$1="ENG","Adverse scenario","За несприятливим макроекономічним сценарієм")</f>
        <v>За несприятливим макроекономічним сценарієм</v>
      </c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4" t="str">
        <f>IF($J$1="ENG","Required (target) capital adequacy level, baseline scenario","Необхідний (цільовий) рівень нормативів за базовим сценарієм")</f>
        <v>Необхідний (цільовий) рівень нормативів за базовим сценарієм</v>
      </c>
      <c r="AU4" s="235"/>
      <c r="AV4" s="234" t="str">
        <f>IF($J$1="ENG","Required (target) capital adequacy level, adverse scenario","Необхідний (цільовий) рівень нормативів за несприятливим сценарієм")</f>
        <v>Необхідний (цільовий) рівень нормативів за несприятливим сценарієм</v>
      </c>
      <c r="AW4" s="238"/>
      <c r="AX4" s="238"/>
      <c r="AY4" s="235"/>
      <c r="AZ4" s="240" t="str">
        <f>IF($J$1="ENG","Memo: capital adequacy ratios as of 1 Dec 2021","Довідково: нормативи достатності капіталу на 01.12.2021 р.")</f>
        <v>Довідково: нормативи достатності капіталу на 01.12.2021 р.</v>
      </c>
      <c r="BA4" s="240"/>
    </row>
    <row r="5" spans="1:58" ht="36" customHeight="1" x14ac:dyDescent="0.25">
      <c r="A5" s="243"/>
      <c r="B5" s="243"/>
      <c r="C5" s="243"/>
      <c r="D5" s="243"/>
      <c r="E5" s="232"/>
      <c r="F5" s="233"/>
      <c r="G5" s="233"/>
      <c r="H5" s="233"/>
      <c r="I5" s="242"/>
      <c r="J5" s="232"/>
      <c r="K5" s="233"/>
      <c r="L5" s="233"/>
      <c r="M5" s="233"/>
      <c r="N5" s="233"/>
      <c r="O5" s="242"/>
      <c r="P5" s="232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2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P5" s="233"/>
      <c r="AQ5" s="233"/>
      <c r="AR5" s="233"/>
      <c r="AS5" s="233"/>
      <c r="AT5" s="236"/>
      <c r="AU5" s="237"/>
      <c r="AV5" s="236"/>
      <c r="AW5" s="239"/>
      <c r="AX5" s="239"/>
      <c r="AY5" s="237"/>
      <c r="AZ5" s="240"/>
      <c r="BA5" s="240"/>
    </row>
    <row r="6" spans="1:58" ht="70.5" customHeight="1" x14ac:dyDescent="0.25">
      <c r="A6" s="243"/>
      <c r="B6" s="243"/>
      <c r="C6" s="243"/>
      <c r="D6" s="243"/>
      <c r="E6" s="1" t="str">
        <f>IF($J$1="ENG","Core capital, UAH mln","ОК, млн грн")</f>
        <v>ОК, млн грн</v>
      </c>
      <c r="F6" s="1" t="str">
        <f>IF($J$1="ENG","Regulatory capital, UAH mln","РК, млн грн")</f>
        <v>РК, млн грн</v>
      </c>
      <c r="G6" s="1" t="str">
        <f>IF($J$1="ENG","CAR","Н2")</f>
        <v>Н2</v>
      </c>
      <c r="H6" s="1" t="str">
        <f>IF($J$1="ENG","Core capital ratio","Н3")</f>
        <v>Н3</v>
      </c>
      <c r="I6" s="10" t="str">
        <f>IF($J$1="ENG","Estimated denominator of the requirement, UAH mln","Розрахунковий знаменник нормативу, млн грн")</f>
        <v>Розрахунковий знаменник нормативу, млн грн</v>
      </c>
      <c r="J6" s="1" t="str">
        <f>IF($J$1="ENG","Extrapolation","Екстраполяція")</f>
        <v>Екстраполяція</v>
      </c>
      <c r="K6" s="1" t="str">
        <f>E6</f>
        <v>ОК, млн грн</v>
      </c>
      <c r="L6" s="1" t="str">
        <f>F6</f>
        <v>РК, млн грн</v>
      </c>
      <c r="M6" s="1" t="str">
        <f>G6</f>
        <v>Н2</v>
      </c>
      <c r="N6" s="1" t="str">
        <f>H6</f>
        <v>Н3</v>
      </c>
      <c r="O6" s="10" t="str">
        <f>IF($J$1="ENG","Estimated denominator of the requirement, UAH mln","Розрахунковий знаменник нормативу, млн грн")</f>
        <v>Розрахунковий знаменник нормативу, млн грн</v>
      </c>
      <c r="P6" s="224" t="str">
        <f>E6</f>
        <v>ОК, млн грн</v>
      </c>
      <c r="Q6" s="225"/>
      <c r="R6" s="226"/>
      <c r="S6" s="224" t="str">
        <f>F6</f>
        <v>РК, млн грн</v>
      </c>
      <c r="T6" s="225"/>
      <c r="U6" s="226"/>
      <c r="V6" s="224" t="str">
        <f>M6</f>
        <v>Н2</v>
      </c>
      <c r="W6" s="225"/>
      <c r="X6" s="226"/>
      <c r="Y6" s="224" t="str">
        <f>H6</f>
        <v>Н3</v>
      </c>
      <c r="Z6" s="225"/>
      <c r="AA6" s="226"/>
      <c r="AB6" s="227" t="str">
        <f>IF($J$1="ENG","Estimated denominator of the requirement, UAH mln","Розрахунковий знаменник нормативу, млн грн")</f>
        <v>Розрахунковий знаменник нормативу, млн грн</v>
      </c>
      <c r="AC6" s="228"/>
      <c r="AD6" s="229"/>
      <c r="AE6" s="224" t="str">
        <f>P6</f>
        <v>ОК, млн грн</v>
      </c>
      <c r="AF6" s="225"/>
      <c r="AG6" s="226"/>
      <c r="AH6" s="224" t="str">
        <f>S6</f>
        <v>РК, млн грн</v>
      </c>
      <c r="AI6" s="225"/>
      <c r="AJ6" s="226"/>
      <c r="AK6" s="224" t="str">
        <f>V6</f>
        <v>Н2</v>
      </c>
      <c r="AL6" s="225"/>
      <c r="AM6" s="226"/>
      <c r="AN6" s="224" t="str">
        <f>Y6</f>
        <v>Н3</v>
      </c>
      <c r="AO6" s="225"/>
      <c r="AP6" s="226"/>
      <c r="AQ6" s="227" t="str">
        <f>IF($J$1="ENG","Estimated denominator of the requirement, UAH mln","Розрахунковий знаменник нормативу, млн грн")</f>
        <v>Розрахунковий знаменник нормативу, млн грн</v>
      </c>
      <c r="AR6" s="228"/>
      <c r="AS6" s="229"/>
      <c r="AT6" s="223" t="str">
        <f>IF($J$1="ENG","resilience assessment results, %","за результатами оцінки стійкості, %")</f>
        <v>за результатами оцінки стійкості, %</v>
      </c>
      <c r="AU6" s="223"/>
      <c r="AV6" s="223" t="str">
        <f>IF($J$1="ENG","resilience assessment results, %","за результатами оцінки стійкості, %")</f>
        <v>за результатами оцінки стійкості, %</v>
      </c>
      <c r="AW6" s="223"/>
      <c r="AX6" s="227" t="str">
        <f>IF($J$1="ENG","after measures taken and planned by banks*, %","з урахуванням здійснених та запланованих банком заходів*, %")</f>
        <v>з урахуванням здійснених та запланованих банком заходів*, %</v>
      </c>
      <c r="AY6" s="229"/>
      <c r="AZ6" s="240"/>
      <c r="BA6" s="240"/>
    </row>
    <row r="7" spans="1:58" ht="25.65" customHeight="1" x14ac:dyDescent="0.25">
      <c r="A7" s="243"/>
      <c r="B7" s="243"/>
      <c r="C7" s="243"/>
      <c r="D7" s="243"/>
      <c r="E7" s="230" t="str">
        <f>IF($J$1="ENG","reporting date 1 Jan 2021","звітний рік (на 01.01.2021)")</f>
        <v>звітний рік (на 01.01.2021)</v>
      </c>
      <c r="F7" s="231"/>
      <c r="G7" s="231"/>
      <c r="H7" s="231"/>
      <c r="I7" s="241"/>
      <c r="J7" s="230" t="str">
        <f>IF($J$1="ENG","reporting date 1 Jan 2021","звітний рік (на 01.01.2021)")</f>
        <v>звітний рік (на 01.01.2021)</v>
      </c>
      <c r="K7" s="231"/>
      <c r="L7" s="231"/>
      <c r="M7" s="231"/>
      <c r="N7" s="231"/>
      <c r="O7" s="241"/>
      <c r="P7" s="1" t="str">
        <f>IF($J$1="ENG","1st","1-й")</f>
        <v>1-й</v>
      </c>
      <c r="Q7" s="1" t="str">
        <f>IF($J$1="ENG","2nd","2-й")</f>
        <v>2-й</v>
      </c>
      <c r="R7" s="1" t="str">
        <f>IF($J$1="ENG","3rd","3-й")</f>
        <v>3-й</v>
      </c>
      <c r="S7" s="1" t="str">
        <f>IF($J$1="ENG","1st","1-й")</f>
        <v>1-й</v>
      </c>
      <c r="T7" s="1" t="str">
        <f>IF($J$1="ENG","2nd","2-й")</f>
        <v>2-й</v>
      </c>
      <c r="U7" s="1" t="str">
        <f>IF($J$1="ENG","3rd","3-й")</f>
        <v>3-й</v>
      </c>
      <c r="V7" s="1" t="str">
        <f>IF($J$1="ENG","1st","1-й")</f>
        <v>1-й</v>
      </c>
      <c r="W7" s="1" t="str">
        <f>IF($J$1="ENG","2nd","2-й")</f>
        <v>2-й</v>
      </c>
      <c r="X7" s="1" t="str">
        <f>IF($J$1="ENG","3rd","3-й")</f>
        <v>3-й</v>
      </c>
      <c r="Y7" s="1" t="str">
        <f>IF($J$1="ENG","1st","1-й")</f>
        <v>1-й</v>
      </c>
      <c r="Z7" s="1" t="str">
        <f>IF($J$1="ENG","2nd","2-й")</f>
        <v>2-й</v>
      </c>
      <c r="AA7" s="1" t="str">
        <f>IF($J$1="ENG","3rd","3-й")</f>
        <v>3-й</v>
      </c>
      <c r="AB7" s="1" t="str">
        <f>IF($J$1="ENG","1st","1-й")</f>
        <v>1-й</v>
      </c>
      <c r="AC7" s="1" t="str">
        <f>IF($J$1="ENG","2nd","2-й")</f>
        <v>2-й</v>
      </c>
      <c r="AD7" s="1" t="str">
        <f>IF($J$1="ENG","3rd","3-й")</f>
        <v>3-й</v>
      </c>
      <c r="AE7" s="1" t="str">
        <f>IF($J$1="ENG","1st","1-й")</f>
        <v>1-й</v>
      </c>
      <c r="AF7" s="1" t="str">
        <f>IF($J$1="ENG","2nd","2-й")</f>
        <v>2-й</v>
      </c>
      <c r="AG7" s="1" t="str">
        <f>IF($J$1="ENG","3rd","3-й")</f>
        <v>3-й</v>
      </c>
      <c r="AH7" s="1" t="str">
        <f>IF($J$1="ENG","1st","1-й")</f>
        <v>1-й</v>
      </c>
      <c r="AI7" s="1" t="str">
        <f>IF($J$1="ENG","2nd","2-й")</f>
        <v>2-й</v>
      </c>
      <c r="AJ7" s="1" t="str">
        <f>IF($J$1="ENG","3rd","3-й")</f>
        <v>3-й</v>
      </c>
      <c r="AK7" s="1" t="str">
        <f>IF($J$1="ENG","1st","1-й")</f>
        <v>1-й</v>
      </c>
      <c r="AL7" s="1" t="str">
        <f>IF($J$1="ENG","2nd","2-й")</f>
        <v>2-й</v>
      </c>
      <c r="AM7" s="1" t="str">
        <f>IF($J$1="ENG","3rd","3-й")</f>
        <v>3-й</v>
      </c>
      <c r="AN7" s="1" t="str">
        <f>IF($J$1="ENG","1st","1-й")</f>
        <v>1-й</v>
      </c>
      <c r="AO7" s="1" t="str">
        <f>IF($J$1="ENG","2nd","2-й")</f>
        <v>2-й</v>
      </c>
      <c r="AP7" s="1" t="str">
        <f>IF($J$1="ENG","3rd","3-й")</f>
        <v>3-й</v>
      </c>
      <c r="AQ7" s="1" t="str">
        <f>IF($J$1="ENG","1st","1-й")</f>
        <v>1-й</v>
      </c>
      <c r="AR7" s="1" t="str">
        <f>IF($J$1="ENG","2nd","2-й")</f>
        <v>2-й</v>
      </c>
      <c r="AS7" s="1" t="str">
        <f>IF($J$1="ENG","3rd","3-й")</f>
        <v>3-й</v>
      </c>
      <c r="AT7" s="221" t="str">
        <f>IF($J$1="ENG","CAR","Н2")</f>
        <v>Н2</v>
      </c>
      <c r="AU7" s="221" t="str">
        <f>IF($J$1="ENG","Core capital ratio","Н3")</f>
        <v>Н3</v>
      </c>
      <c r="AV7" s="221" t="str">
        <f>IF($J$1="ENG","CAR","Н2")</f>
        <v>Н2</v>
      </c>
      <c r="AW7" s="221" t="str">
        <f>IF($J$1="ENG","Core capital ratio","Н3")</f>
        <v>Н3</v>
      </c>
      <c r="AX7" s="221" t="str">
        <f>IF($J$1="ENG","CAR","Н2")</f>
        <v>Н2</v>
      </c>
      <c r="AY7" s="221" t="str">
        <f>IF($J$1="ENG","Core capital ratio","Н3")</f>
        <v>Н3</v>
      </c>
      <c r="AZ7" s="221" t="str">
        <f>IF($J$1="ENG","CAR","Н2")</f>
        <v>Н2</v>
      </c>
      <c r="BA7" s="221" t="str">
        <f>IF($J$1="ENG","Core capital ratio","Н3")</f>
        <v>Н3</v>
      </c>
    </row>
    <row r="8" spans="1:58" ht="18.600000000000001" customHeight="1" x14ac:dyDescent="0.25">
      <c r="A8" s="243"/>
      <c r="B8" s="243"/>
      <c r="C8" s="243"/>
      <c r="D8" s="243"/>
      <c r="E8" s="232"/>
      <c r="F8" s="233"/>
      <c r="G8" s="233"/>
      <c r="H8" s="233"/>
      <c r="I8" s="242"/>
      <c r="J8" s="232"/>
      <c r="K8" s="233"/>
      <c r="L8" s="233"/>
      <c r="M8" s="233"/>
      <c r="N8" s="233"/>
      <c r="O8" s="242"/>
      <c r="P8" s="223" t="str">
        <f>IF($J$1="ENG","forecast year","прогнозний рік")</f>
        <v>прогнозний рік</v>
      </c>
      <c r="Q8" s="223"/>
      <c r="R8" s="223"/>
      <c r="S8" s="223" t="str">
        <f>IF($J$1="ENG","forecast year","прогнозний рік")</f>
        <v>прогнозний рік</v>
      </c>
      <c r="T8" s="223"/>
      <c r="U8" s="223"/>
      <c r="V8" s="223" t="str">
        <f>IF($J$1="ENG","forecast year","прогнозний рік")</f>
        <v>прогнозний рік</v>
      </c>
      <c r="W8" s="223"/>
      <c r="X8" s="223"/>
      <c r="Y8" s="223" t="str">
        <f>IF($J$1="ENG","forecast year","прогнозний рік")</f>
        <v>прогнозний рік</v>
      </c>
      <c r="Z8" s="223"/>
      <c r="AA8" s="223"/>
      <c r="AB8" s="223" t="str">
        <f>IF($J$1="ENG","forecast year","прогнозний рік")</f>
        <v>прогнозний рік</v>
      </c>
      <c r="AC8" s="223"/>
      <c r="AD8" s="223"/>
      <c r="AE8" s="223" t="str">
        <f>IF($J$1="ENG","forecast year","прогнозний рік")</f>
        <v>прогнозний рік</v>
      </c>
      <c r="AF8" s="223"/>
      <c r="AG8" s="223"/>
      <c r="AH8" s="223" t="str">
        <f>IF($J$1="ENG","forecast year","прогнозний рік")</f>
        <v>прогнозний рік</v>
      </c>
      <c r="AI8" s="223"/>
      <c r="AJ8" s="223"/>
      <c r="AK8" s="223" t="str">
        <f>IF($J$1="ENG","forecast year","прогнозний рік")</f>
        <v>прогнозний рік</v>
      </c>
      <c r="AL8" s="223"/>
      <c r="AM8" s="223"/>
      <c r="AN8" s="223" t="str">
        <f>IF($J$1="ENG","forecast year","прогнозний рік")</f>
        <v>прогнозний рік</v>
      </c>
      <c r="AO8" s="223"/>
      <c r="AP8" s="223"/>
      <c r="AQ8" s="223" t="str">
        <f>IF($J$1="ENG","forecast year","прогнозний рік")</f>
        <v>прогнозний рік</v>
      </c>
      <c r="AR8" s="223"/>
      <c r="AS8" s="223"/>
      <c r="AT8" s="222"/>
      <c r="AU8" s="222"/>
      <c r="AV8" s="222"/>
      <c r="AW8" s="222"/>
      <c r="AX8" s="222"/>
      <c r="AY8" s="222"/>
      <c r="AZ8" s="222"/>
      <c r="BA8" s="222"/>
    </row>
    <row r="9" spans="1:58" x14ac:dyDescent="0.2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2"/>
      <c r="J9" s="12">
        <v>9</v>
      </c>
      <c r="K9" s="12">
        <v>10</v>
      </c>
      <c r="L9" s="12">
        <v>11</v>
      </c>
      <c r="M9" s="12">
        <v>12</v>
      </c>
      <c r="N9" s="12">
        <v>13</v>
      </c>
      <c r="O9" s="12"/>
      <c r="P9" s="12">
        <v>13</v>
      </c>
      <c r="Q9" s="12">
        <v>14</v>
      </c>
      <c r="R9" s="12">
        <v>15</v>
      </c>
      <c r="S9" s="12">
        <v>16</v>
      </c>
      <c r="T9" s="12">
        <v>17</v>
      </c>
      <c r="U9" s="12">
        <v>18</v>
      </c>
      <c r="V9" s="12">
        <v>19</v>
      </c>
      <c r="W9" s="12">
        <v>20</v>
      </c>
      <c r="X9" s="12">
        <v>21</v>
      </c>
      <c r="Y9" s="12">
        <v>22</v>
      </c>
      <c r="Z9" s="12">
        <v>23</v>
      </c>
      <c r="AA9" s="12">
        <v>24</v>
      </c>
      <c r="AB9" s="12"/>
      <c r="AC9" s="12"/>
      <c r="AD9" s="12"/>
      <c r="AE9" s="12">
        <v>25</v>
      </c>
      <c r="AF9" s="12">
        <v>26</v>
      </c>
      <c r="AG9" s="12">
        <v>27</v>
      </c>
      <c r="AH9" s="12">
        <v>28</v>
      </c>
      <c r="AI9" s="12">
        <v>29</v>
      </c>
      <c r="AJ9" s="12">
        <v>30</v>
      </c>
      <c r="AK9" s="12">
        <v>31</v>
      </c>
      <c r="AL9" s="12">
        <v>32</v>
      </c>
      <c r="AM9" s="12">
        <v>33</v>
      </c>
      <c r="AN9" s="12">
        <v>34</v>
      </c>
      <c r="AO9" s="12">
        <v>35</v>
      </c>
      <c r="AP9" s="12">
        <v>36</v>
      </c>
      <c r="AQ9" s="12">
        <v>37</v>
      </c>
      <c r="AR9" s="12">
        <v>38</v>
      </c>
      <c r="AS9" s="12">
        <v>39</v>
      </c>
      <c r="AT9" s="12">
        <v>40</v>
      </c>
      <c r="AU9" s="12">
        <v>41</v>
      </c>
      <c r="AV9" s="12">
        <v>42</v>
      </c>
      <c r="AW9" s="12">
        <v>43</v>
      </c>
      <c r="AX9" s="12">
        <v>44</v>
      </c>
      <c r="AY9" s="12">
        <v>45</v>
      </c>
      <c r="AZ9" s="12">
        <v>48</v>
      </c>
      <c r="BA9" s="12">
        <v>49</v>
      </c>
    </row>
    <row r="10" spans="1:58" x14ac:dyDescent="0.25">
      <c r="A10" s="13">
        <v>1</v>
      </c>
      <c r="B10" s="13">
        <v>46</v>
      </c>
      <c r="C10" s="2" t="str">
        <f>IF($J$1="ENG","Privatbank","Приватбанк")</f>
        <v>Приватбанк</v>
      </c>
      <c r="D10" s="13" t="str">
        <f>IF($J$1="ENG","State-owned banks","Банки з державною часткою")</f>
        <v>Банки з державною часткою</v>
      </c>
      <c r="E10" s="19">
        <v>17643</v>
      </c>
      <c r="F10" s="19">
        <v>35256</v>
      </c>
      <c r="G10" s="170">
        <v>0.28499999999999998</v>
      </c>
      <c r="H10" s="170">
        <v>0.1426</v>
      </c>
      <c r="I10" s="19">
        <v>123725</v>
      </c>
      <c r="J10" s="12" t="str">
        <f>IF($J$1="ENG","no","ні")</f>
        <v>ні</v>
      </c>
      <c r="K10" s="19">
        <v>17643</v>
      </c>
      <c r="L10" s="19">
        <v>35256</v>
      </c>
      <c r="M10" s="170">
        <v>0.28499999999999998</v>
      </c>
      <c r="N10" s="170">
        <v>0.1426</v>
      </c>
      <c r="O10" s="19">
        <v>123725</v>
      </c>
      <c r="P10" s="19">
        <v>34680</v>
      </c>
      <c r="Q10" s="19">
        <v>50533</v>
      </c>
      <c r="R10" s="19">
        <v>63528</v>
      </c>
      <c r="S10" s="19">
        <v>46245</v>
      </c>
      <c r="T10" s="19">
        <v>62098</v>
      </c>
      <c r="U10" s="19">
        <v>75092</v>
      </c>
      <c r="V10" s="170">
        <v>0.2555</v>
      </c>
      <c r="W10" s="170">
        <v>0.27729999999999999</v>
      </c>
      <c r="X10" s="170">
        <v>0.33579999999999999</v>
      </c>
      <c r="Y10" s="170">
        <v>0.19159999999999999</v>
      </c>
      <c r="Z10" s="170">
        <v>0.22570000000000001</v>
      </c>
      <c r="AA10" s="170">
        <v>0.28410000000000002</v>
      </c>
      <c r="AB10" s="19">
        <v>181003</v>
      </c>
      <c r="AC10" s="19">
        <v>223896</v>
      </c>
      <c r="AD10" s="19">
        <v>223610</v>
      </c>
      <c r="AE10" s="19">
        <v>30731</v>
      </c>
      <c r="AF10" s="19">
        <v>40609</v>
      </c>
      <c r="AG10" s="19">
        <v>48818</v>
      </c>
      <c r="AH10" s="19">
        <v>42295</v>
      </c>
      <c r="AI10" s="19">
        <v>52174</v>
      </c>
      <c r="AJ10" s="19">
        <v>60383</v>
      </c>
      <c r="AK10" s="172">
        <v>0.22950000000000001</v>
      </c>
      <c r="AL10" s="172">
        <v>0.23169999999999999</v>
      </c>
      <c r="AM10" s="172">
        <v>0.2641</v>
      </c>
      <c r="AN10" s="172">
        <v>0.16669999999999999</v>
      </c>
      <c r="AO10" s="172">
        <v>0.18029999999999999</v>
      </c>
      <c r="AP10" s="172">
        <v>0.2135</v>
      </c>
      <c r="AQ10" s="19">
        <v>184346</v>
      </c>
      <c r="AR10" s="19">
        <v>225230</v>
      </c>
      <c r="AS10" s="19">
        <v>228658</v>
      </c>
      <c r="AT10" s="172">
        <v>0.1</v>
      </c>
      <c r="AU10" s="172">
        <v>7.0000000000000007E-2</v>
      </c>
      <c r="AV10" s="172">
        <v>0.1</v>
      </c>
      <c r="AW10" s="172">
        <v>7.0000000000000007E-2</v>
      </c>
      <c r="AX10" s="170">
        <v>0.1</v>
      </c>
      <c r="AY10" s="170">
        <v>7.0000000000000007E-2</v>
      </c>
      <c r="AZ10" s="172">
        <v>0.2732</v>
      </c>
      <c r="BA10" s="172">
        <v>0.13669999999999999</v>
      </c>
      <c r="BB10" s="20"/>
      <c r="BC10" s="20"/>
      <c r="BD10" s="21"/>
      <c r="BE10" s="20"/>
      <c r="BF10" s="20"/>
    </row>
    <row r="11" spans="1:58" x14ac:dyDescent="0.25">
      <c r="A11" s="13">
        <v>2</v>
      </c>
      <c r="B11" s="13">
        <v>6</v>
      </c>
      <c r="C11" s="2" t="str">
        <f>IF($J$1="ENG","Oschadbank","Ощадбанк")</f>
        <v>Ощадбанк</v>
      </c>
      <c r="D11" s="13" t="str">
        <f>IF($J$1="ENG","State-owned banks","Банки з державною часткою")</f>
        <v>Банки з державною часткою</v>
      </c>
      <c r="E11" s="19">
        <v>12535</v>
      </c>
      <c r="F11" s="19">
        <v>17168</v>
      </c>
      <c r="G11" s="170">
        <v>0.18379999999999999</v>
      </c>
      <c r="H11" s="170">
        <v>0.13420000000000001</v>
      </c>
      <c r="I11" s="19">
        <v>93402</v>
      </c>
      <c r="J11" s="12" t="str">
        <f t="shared" ref="J11:J39" si="2">IF($J$1="ENG","no","ні")</f>
        <v>ні</v>
      </c>
      <c r="K11" s="19">
        <v>12535</v>
      </c>
      <c r="L11" s="19">
        <v>17168</v>
      </c>
      <c r="M11" s="170">
        <v>0.18379999999999999</v>
      </c>
      <c r="N11" s="170">
        <v>0.13420000000000001</v>
      </c>
      <c r="O11" s="19">
        <v>93402</v>
      </c>
      <c r="P11" s="19">
        <v>14967</v>
      </c>
      <c r="Q11" s="19">
        <v>14103</v>
      </c>
      <c r="R11" s="19">
        <v>11348</v>
      </c>
      <c r="S11" s="19">
        <v>16322</v>
      </c>
      <c r="T11" s="19">
        <v>15140</v>
      </c>
      <c r="U11" s="19">
        <v>12203</v>
      </c>
      <c r="V11" s="170">
        <v>0.15190000000000001</v>
      </c>
      <c r="W11" s="170">
        <v>0.12670000000000001</v>
      </c>
      <c r="X11" s="170">
        <v>0.1033</v>
      </c>
      <c r="Y11" s="170">
        <v>0.13930000000000001</v>
      </c>
      <c r="Z11" s="170">
        <v>0.1181</v>
      </c>
      <c r="AA11" s="170">
        <v>9.6000000000000002E-2</v>
      </c>
      <c r="AB11" s="19">
        <v>107445</v>
      </c>
      <c r="AC11" s="19">
        <v>119412</v>
      </c>
      <c r="AD11" s="19">
        <v>118207</v>
      </c>
      <c r="AE11" s="19">
        <v>8092</v>
      </c>
      <c r="AF11" s="19">
        <v>1459</v>
      </c>
      <c r="AG11" s="19">
        <v>-7081</v>
      </c>
      <c r="AH11" s="19">
        <v>9539</v>
      </c>
      <c r="AI11" s="19">
        <v>2543</v>
      </c>
      <c r="AJ11" s="19">
        <v>-7133</v>
      </c>
      <c r="AK11" s="172">
        <v>8.5400000000000004E-2</v>
      </c>
      <c r="AL11" s="172">
        <v>2.0400000000000001E-2</v>
      </c>
      <c r="AM11" s="172">
        <v>-5.5899999999999998E-2</v>
      </c>
      <c r="AN11" s="172">
        <v>7.2400000000000006E-2</v>
      </c>
      <c r="AO11" s="172">
        <v>1.17E-2</v>
      </c>
      <c r="AP11" s="172">
        <v>-5.5500000000000001E-2</v>
      </c>
      <c r="AQ11" s="19">
        <v>111774</v>
      </c>
      <c r="AR11" s="19">
        <v>124695</v>
      </c>
      <c r="AS11" s="19">
        <v>127594</v>
      </c>
      <c r="AT11" s="172">
        <v>0.1</v>
      </c>
      <c r="AU11" s="172">
        <v>9.8000000000000004E-2</v>
      </c>
      <c r="AV11" s="172">
        <v>0.27500000000000002</v>
      </c>
      <c r="AW11" s="172">
        <v>0.26</v>
      </c>
      <c r="AX11" s="170">
        <v>0.13700000000000001</v>
      </c>
      <c r="AY11" s="170">
        <v>9.9000000000000005E-2</v>
      </c>
      <c r="AZ11" s="172">
        <v>0.1782</v>
      </c>
      <c r="BA11" s="172">
        <v>0.14069999999999999</v>
      </c>
      <c r="BB11" s="22"/>
      <c r="BC11" s="22"/>
      <c r="BD11" s="21"/>
      <c r="BE11" s="20"/>
      <c r="BF11" s="20"/>
    </row>
    <row r="12" spans="1:58" x14ac:dyDescent="0.25">
      <c r="A12" s="13">
        <v>3</v>
      </c>
      <c r="B12" s="13">
        <v>2</v>
      </c>
      <c r="C12" s="2" t="str">
        <f>IF($J$1="ENG","Ukreximbank","Укрексімбанк")</f>
        <v>Укрексімбанк</v>
      </c>
      <c r="D12" s="13" t="str">
        <f>IF($J$1="ENG","State-owned banks","Банки з державною часткою")</f>
        <v>Банки з державною часткою</v>
      </c>
      <c r="E12" s="19">
        <v>8969</v>
      </c>
      <c r="F12" s="19">
        <v>13506</v>
      </c>
      <c r="G12" s="170">
        <v>0.21240000000000001</v>
      </c>
      <c r="H12" s="170">
        <v>0.1411</v>
      </c>
      <c r="I12" s="19">
        <v>63567</v>
      </c>
      <c r="J12" s="12" t="str">
        <f t="shared" si="2"/>
        <v>ні</v>
      </c>
      <c r="K12" s="19">
        <v>8969</v>
      </c>
      <c r="L12" s="19">
        <v>13506</v>
      </c>
      <c r="M12" s="170">
        <v>0.21240000000000001</v>
      </c>
      <c r="N12" s="170">
        <v>0.1411</v>
      </c>
      <c r="O12" s="19">
        <v>63567</v>
      </c>
      <c r="P12" s="19">
        <v>8004</v>
      </c>
      <c r="Q12" s="19">
        <v>6339</v>
      </c>
      <c r="R12" s="19">
        <v>3709</v>
      </c>
      <c r="S12" s="19">
        <v>11518</v>
      </c>
      <c r="T12" s="19">
        <v>9617</v>
      </c>
      <c r="U12" s="19">
        <v>6917</v>
      </c>
      <c r="V12" s="170">
        <v>0.17119999999999999</v>
      </c>
      <c r="W12" s="170">
        <v>0.13250000000000001</v>
      </c>
      <c r="X12" s="170">
        <v>9.5699999999999993E-2</v>
      </c>
      <c r="Y12" s="170">
        <v>0.11890000000000001</v>
      </c>
      <c r="Z12" s="170">
        <v>8.7400000000000005E-2</v>
      </c>
      <c r="AA12" s="170">
        <v>5.1299999999999998E-2</v>
      </c>
      <c r="AB12" s="19">
        <v>67316</v>
      </c>
      <c r="AC12" s="19">
        <v>72524</v>
      </c>
      <c r="AD12" s="19">
        <v>72303</v>
      </c>
      <c r="AE12" s="19">
        <v>966</v>
      </c>
      <c r="AF12" s="19">
        <v>-3882</v>
      </c>
      <c r="AG12" s="19">
        <v>-12176</v>
      </c>
      <c r="AH12" s="19">
        <v>1910</v>
      </c>
      <c r="AI12" s="19">
        <v>-3904</v>
      </c>
      <c r="AJ12" s="19">
        <v>-12198</v>
      </c>
      <c r="AK12" s="172">
        <v>2.6100000000000002E-2</v>
      </c>
      <c r="AL12" s="172">
        <v>-4.8500000000000001E-2</v>
      </c>
      <c r="AM12" s="172">
        <v>-0.1444</v>
      </c>
      <c r="AN12" s="172">
        <v>1.32E-2</v>
      </c>
      <c r="AO12" s="172">
        <v>-4.82E-2</v>
      </c>
      <c r="AP12" s="172">
        <v>-0.14410000000000001</v>
      </c>
      <c r="AQ12" s="19">
        <v>73211</v>
      </c>
      <c r="AR12" s="19">
        <v>80534</v>
      </c>
      <c r="AS12" s="19">
        <v>84494</v>
      </c>
      <c r="AT12" s="172">
        <v>0.191</v>
      </c>
      <c r="AU12" s="172">
        <v>0.161</v>
      </c>
      <c r="AV12" s="172">
        <v>0.39100000000000001</v>
      </c>
      <c r="AW12" s="172">
        <v>0.376</v>
      </c>
      <c r="AX12" s="170">
        <v>0.1</v>
      </c>
      <c r="AY12" s="170">
        <v>7.0000000000000007E-2</v>
      </c>
      <c r="AZ12" s="172">
        <v>0.2064</v>
      </c>
      <c r="BA12" s="172">
        <v>0.124</v>
      </c>
      <c r="BB12" s="20"/>
      <c r="BC12" s="20"/>
      <c r="BD12" s="21"/>
      <c r="BE12" s="20"/>
      <c r="BF12" s="20"/>
    </row>
    <row r="13" spans="1:58" x14ac:dyDescent="0.25">
      <c r="A13" s="13">
        <v>4</v>
      </c>
      <c r="B13" s="13">
        <v>274</v>
      </c>
      <c r="C13" s="2" t="str">
        <f>IF($J$1="ENG","Ukrgasbank","Укргазбанк")</f>
        <v>Укргазбанк</v>
      </c>
      <c r="D13" s="13" t="str">
        <f>IF($J$1="ENG","State-owned banks","Банки з державною часткою")</f>
        <v>Банки з державною часткою</v>
      </c>
      <c r="E13" s="19">
        <v>8456</v>
      </c>
      <c r="F13" s="19">
        <v>8695</v>
      </c>
      <c r="G13" s="170">
        <v>0.14979999999999999</v>
      </c>
      <c r="H13" s="170">
        <v>0.14560000000000001</v>
      </c>
      <c r="I13" s="19">
        <v>58078</v>
      </c>
      <c r="J13" s="12" t="str">
        <f t="shared" si="2"/>
        <v>ні</v>
      </c>
      <c r="K13" s="19">
        <v>8456</v>
      </c>
      <c r="L13" s="19">
        <v>8695</v>
      </c>
      <c r="M13" s="170">
        <v>0.14979999999999999</v>
      </c>
      <c r="N13" s="170">
        <v>0.14560000000000001</v>
      </c>
      <c r="O13" s="19">
        <v>58078</v>
      </c>
      <c r="P13" s="19">
        <v>9298</v>
      </c>
      <c r="Q13" s="19">
        <v>10130</v>
      </c>
      <c r="R13" s="19">
        <v>10061</v>
      </c>
      <c r="S13" s="19">
        <v>9357</v>
      </c>
      <c r="T13" s="19">
        <v>10189</v>
      </c>
      <c r="U13" s="19">
        <v>10120</v>
      </c>
      <c r="V13" s="170">
        <v>0.14979999999999999</v>
      </c>
      <c r="W13" s="170">
        <v>0.15160000000000001</v>
      </c>
      <c r="X13" s="170">
        <v>0.15090000000000001</v>
      </c>
      <c r="Y13" s="170">
        <v>0.14879999999999999</v>
      </c>
      <c r="Z13" s="170">
        <v>0.1507</v>
      </c>
      <c r="AA13" s="170">
        <v>0.15</v>
      </c>
      <c r="AB13" s="19">
        <v>62485</v>
      </c>
      <c r="AC13" s="19">
        <v>67219</v>
      </c>
      <c r="AD13" s="19">
        <v>67073</v>
      </c>
      <c r="AE13" s="19">
        <v>1786</v>
      </c>
      <c r="AF13" s="19">
        <v>-1029</v>
      </c>
      <c r="AG13" s="19">
        <v>-3406</v>
      </c>
      <c r="AH13" s="19">
        <v>1845</v>
      </c>
      <c r="AI13" s="19">
        <v>-1036</v>
      </c>
      <c r="AJ13" s="19">
        <v>-3413</v>
      </c>
      <c r="AK13" s="172">
        <v>2.7699999999999999E-2</v>
      </c>
      <c r="AL13" s="172">
        <v>-1.44E-2</v>
      </c>
      <c r="AM13" s="172">
        <v>-4.5999999999999999E-2</v>
      </c>
      <c r="AN13" s="172">
        <v>2.6800000000000001E-2</v>
      </c>
      <c r="AO13" s="172">
        <v>-1.43E-2</v>
      </c>
      <c r="AP13" s="172">
        <v>-4.5900000000000003E-2</v>
      </c>
      <c r="AQ13" s="19">
        <v>66626</v>
      </c>
      <c r="AR13" s="19">
        <v>71957</v>
      </c>
      <c r="AS13" s="19">
        <v>74212</v>
      </c>
      <c r="AT13" s="172">
        <v>0.1</v>
      </c>
      <c r="AU13" s="172">
        <v>7.0000000000000007E-2</v>
      </c>
      <c r="AV13" s="172">
        <v>0.25700000000000001</v>
      </c>
      <c r="AW13" s="172">
        <v>0.24199999999999999</v>
      </c>
      <c r="AX13" s="170">
        <v>0.1</v>
      </c>
      <c r="AY13" s="170">
        <v>7.0000000000000007E-2</v>
      </c>
      <c r="AZ13" s="172">
        <v>0.2001</v>
      </c>
      <c r="BA13" s="172">
        <v>0.15870000000000001</v>
      </c>
      <c r="BB13" s="20"/>
      <c r="BC13" s="20"/>
      <c r="BD13" s="21"/>
      <c r="BE13" s="20"/>
      <c r="BF13" s="20"/>
    </row>
    <row r="14" spans="1:58" x14ac:dyDescent="0.25">
      <c r="A14" s="13">
        <v>5</v>
      </c>
      <c r="B14" s="13">
        <v>272</v>
      </c>
      <c r="C14" s="2" t="str">
        <f>IF($J$1="ENG","Alfa-Bank","Альфа-Банк")</f>
        <v>Альфа-Банк</v>
      </c>
      <c r="D14" s="13" t="str">
        <f>IF($J$1="ENG","Foreign banks","Банки іноземних банківських груп")</f>
        <v>Банки іноземних банківських груп</v>
      </c>
      <c r="E14" s="19">
        <v>7055</v>
      </c>
      <c r="F14" s="19">
        <v>8391</v>
      </c>
      <c r="G14" s="170">
        <v>0.13439999999999999</v>
      </c>
      <c r="H14" s="170">
        <v>0.113</v>
      </c>
      <c r="I14" s="19">
        <v>62434</v>
      </c>
      <c r="J14" s="12" t="str">
        <f t="shared" si="2"/>
        <v>ні</v>
      </c>
      <c r="K14" s="19">
        <v>7055</v>
      </c>
      <c r="L14" s="19">
        <v>8390</v>
      </c>
      <c r="M14" s="170">
        <v>0.13439999999999999</v>
      </c>
      <c r="N14" s="170">
        <v>0.113</v>
      </c>
      <c r="O14" s="19">
        <v>62429</v>
      </c>
      <c r="P14" s="19">
        <v>9421</v>
      </c>
      <c r="Q14" s="19">
        <v>12180</v>
      </c>
      <c r="R14" s="19">
        <v>14622</v>
      </c>
      <c r="S14" s="19">
        <v>10486</v>
      </c>
      <c r="T14" s="19">
        <v>12977</v>
      </c>
      <c r="U14" s="19">
        <v>15126</v>
      </c>
      <c r="V14" s="170">
        <v>0.1394</v>
      </c>
      <c r="W14" s="170">
        <v>0.15640000000000001</v>
      </c>
      <c r="X14" s="170">
        <v>0.18260000000000001</v>
      </c>
      <c r="Y14" s="170">
        <v>0.12529999999999999</v>
      </c>
      <c r="Z14" s="170">
        <v>0.1467</v>
      </c>
      <c r="AA14" s="170">
        <v>0.17649999999999999</v>
      </c>
      <c r="AB14" s="19">
        <v>75185</v>
      </c>
      <c r="AC14" s="19">
        <v>83026</v>
      </c>
      <c r="AD14" s="19">
        <v>82845</v>
      </c>
      <c r="AE14" s="19">
        <v>4970</v>
      </c>
      <c r="AF14" s="19">
        <v>5301</v>
      </c>
      <c r="AG14" s="19">
        <v>6148</v>
      </c>
      <c r="AH14" s="19">
        <v>6231</v>
      </c>
      <c r="AI14" s="19">
        <v>6284</v>
      </c>
      <c r="AJ14" s="19">
        <v>6831</v>
      </c>
      <c r="AK14" s="172">
        <v>8.2299999999999998E-2</v>
      </c>
      <c r="AL14" s="172">
        <v>7.5999999999999998E-2</v>
      </c>
      <c r="AM14" s="172">
        <v>8.1000000000000003E-2</v>
      </c>
      <c r="AN14" s="172">
        <v>6.5600000000000006E-2</v>
      </c>
      <c r="AO14" s="172">
        <v>6.4100000000000004E-2</v>
      </c>
      <c r="AP14" s="172">
        <v>7.2900000000000006E-2</v>
      </c>
      <c r="AQ14" s="19">
        <v>75764</v>
      </c>
      <c r="AR14" s="19">
        <v>82704</v>
      </c>
      <c r="AS14" s="19">
        <v>84328</v>
      </c>
      <c r="AT14" s="172">
        <v>0.1</v>
      </c>
      <c r="AU14" s="172">
        <v>7.0000000000000007E-2</v>
      </c>
      <c r="AV14" s="172">
        <v>0.1</v>
      </c>
      <c r="AW14" s="172">
        <v>7.0000000000000007E-2</v>
      </c>
      <c r="AX14" s="170">
        <v>0.1</v>
      </c>
      <c r="AY14" s="170">
        <v>7.0000000000000007E-2</v>
      </c>
      <c r="AZ14" s="172">
        <v>0.14349999999999999</v>
      </c>
      <c r="BA14" s="172">
        <v>0.1076</v>
      </c>
      <c r="BB14" s="20"/>
      <c r="BC14" s="20"/>
      <c r="BD14" s="21"/>
      <c r="BE14" s="20"/>
      <c r="BF14" s="20"/>
    </row>
    <row r="15" spans="1:58" x14ac:dyDescent="0.25">
      <c r="A15" s="13">
        <v>6</v>
      </c>
      <c r="B15" s="13">
        <v>36</v>
      </c>
      <c r="C15" s="2" t="str">
        <f>IF($J$1="ENG","Raiffeisen Bank","Райффайзен Банк")</f>
        <v>Райффайзен Банк</v>
      </c>
      <c r="D15" s="13" t="str">
        <f>IF($J$1="ENG","Foreign banks","Банки іноземних банківських груп")</f>
        <v>Банки іноземних банківських груп</v>
      </c>
      <c r="E15" s="19">
        <v>6904</v>
      </c>
      <c r="F15" s="19">
        <v>10652</v>
      </c>
      <c r="G15" s="170">
        <v>0.1694</v>
      </c>
      <c r="H15" s="170">
        <v>0.10979999999999999</v>
      </c>
      <c r="I15" s="19">
        <v>62879</v>
      </c>
      <c r="J15" s="12" t="str">
        <f t="shared" si="2"/>
        <v>ні</v>
      </c>
      <c r="K15" s="19">
        <v>6904</v>
      </c>
      <c r="L15" s="19">
        <v>10644</v>
      </c>
      <c r="M15" s="170">
        <v>0.16930000000000001</v>
      </c>
      <c r="N15" s="170">
        <v>0.10979999999999999</v>
      </c>
      <c r="O15" s="19">
        <v>62879</v>
      </c>
      <c r="P15" s="19">
        <v>11385</v>
      </c>
      <c r="Q15" s="19">
        <v>14735</v>
      </c>
      <c r="R15" s="19">
        <v>17295</v>
      </c>
      <c r="S15" s="19">
        <v>11685</v>
      </c>
      <c r="T15" s="19">
        <v>15035</v>
      </c>
      <c r="U15" s="19">
        <v>17595</v>
      </c>
      <c r="V15" s="170">
        <v>0.15490000000000001</v>
      </c>
      <c r="W15" s="170">
        <v>0.17510000000000001</v>
      </c>
      <c r="X15" s="170">
        <v>0.20519999999999999</v>
      </c>
      <c r="Y15" s="170">
        <v>0.15090000000000001</v>
      </c>
      <c r="Z15" s="170">
        <v>0.1716</v>
      </c>
      <c r="AA15" s="170">
        <v>0.20169999999999999</v>
      </c>
      <c r="AB15" s="19">
        <v>75447</v>
      </c>
      <c r="AC15" s="19">
        <v>85869</v>
      </c>
      <c r="AD15" s="19">
        <v>85747</v>
      </c>
      <c r="AE15" s="19">
        <v>8212</v>
      </c>
      <c r="AF15" s="19">
        <v>8526</v>
      </c>
      <c r="AG15" s="19">
        <v>10169</v>
      </c>
      <c r="AH15" s="19">
        <v>8512</v>
      </c>
      <c r="AI15" s="19">
        <v>8826</v>
      </c>
      <c r="AJ15" s="19">
        <v>10468</v>
      </c>
      <c r="AK15" s="172">
        <v>0.1087</v>
      </c>
      <c r="AL15" s="172">
        <v>0.1007</v>
      </c>
      <c r="AM15" s="172">
        <v>0.11749999999999999</v>
      </c>
      <c r="AN15" s="172">
        <v>0.10489999999999999</v>
      </c>
      <c r="AO15" s="172">
        <v>9.7299999999999998E-2</v>
      </c>
      <c r="AP15" s="172">
        <v>0.1142</v>
      </c>
      <c r="AQ15" s="19">
        <v>78283</v>
      </c>
      <c r="AR15" s="19">
        <v>87625</v>
      </c>
      <c r="AS15" s="19">
        <v>89042</v>
      </c>
      <c r="AT15" s="172">
        <v>0.1</v>
      </c>
      <c r="AU15" s="172">
        <v>7.0000000000000007E-2</v>
      </c>
      <c r="AV15" s="172">
        <v>0.1</v>
      </c>
      <c r="AW15" s="172">
        <v>7.0000000000000007E-2</v>
      </c>
      <c r="AX15" s="170">
        <v>0.1</v>
      </c>
      <c r="AY15" s="170">
        <v>7.0000000000000007E-2</v>
      </c>
      <c r="AZ15" s="172">
        <v>0.15290000000000001</v>
      </c>
      <c r="BA15" s="172">
        <v>0.1069</v>
      </c>
      <c r="BB15" s="20"/>
      <c r="BC15" s="20"/>
      <c r="BD15" s="21"/>
      <c r="BE15" s="20"/>
      <c r="BF15" s="20"/>
    </row>
    <row r="16" spans="1:58" x14ac:dyDescent="0.25">
      <c r="A16" s="73">
        <v>7</v>
      </c>
      <c r="B16" s="73">
        <v>299</v>
      </c>
      <c r="C16" s="74" t="str">
        <f>IF($J$1="ENG","International Reserve Bank (Sberbank)","Міжнародний резервний банк (Сбербанк)")</f>
        <v>Міжнародний резервний банк (Сбербанк)</v>
      </c>
      <c r="D16" s="73" t="str">
        <f>IF($J$1="ENG","Banks owned by Russia","Банки з державним російським капіталом")</f>
        <v>Банки з державним російським капіталом</v>
      </c>
      <c r="E16" s="24">
        <v>8122</v>
      </c>
      <c r="F16" s="24">
        <v>9104</v>
      </c>
      <c r="G16" s="171">
        <v>0.7016</v>
      </c>
      <c r="H16" s="171">
        <v>0.62590000000000001</v>
      </c>
      <c r="I16" s="24">
        <v>12976</v>
      </c>
      <c r="J16" s="11" t="str">
        <f t="shared" si="2"/>
        <v>ні</v>
      </c>
      <c r="K16" s="24">
        <v>8122</v>
      </c>
      <c r="L16" s="24">
        <v>9104</v>
      </c>
      <c r="M16" s="171">
        <v>0.7016</v>
      </c>
      <c r="N16" s="171">
        <v>0.62590000000000001</v>
      </c>
      <c r="O16" s="24">
        <v>12976</v>
      </c>
      <c r="P16" s="24">
        <v>9575</v>
      </c>
      <c r="Q16" s="24">
        <v>9008</v>
      </c>
      <c r="R16" s="24">
        <v>9222</v>
      </c>
      <c r="S16" s="24">
        <v>9643</v>
      </c>
      <c r="T16" s="24">
        <v>9075</v>
      </c>
      <c r="U16" s="24">
        <v>9290</v>
      </c>
      <c r="V16" s="171">
        <v>0.64129999999999998</v>
      </c>
      <c r="W16" s="171">
        <v>0.53680000000000005</v>
      </c>
      <c r="X16" s="171">
        <v>0.55459999999999998</v>
      </c>
      <c r="Y16" s="171">
        <v>0.63680000000000003</v>
      </c>
      <c r="Z16" s="171">
        <v>0.53280000000000005</v>
      </c>
      <c r="AA16" s="171">
        <v>0.55059999999999998</v>
      </c>
      <c r="AB16" s="24">
        <v>15036</v>
      </c>
      <c r="AC16" s="24">
        <v>16907</v>
      </c>
      <c r="AD16" s="24">
        <v>16749</v>
      </c>
      <c r="AE16" s="24">
        <v>8759</v>
      </c>
      <c r="AF16" s="24">
        <v>8956</v>
      </c>
      <c r="AG16" s="24">
        <v>7946</v>
      </c>
      <c r="AH16" s="24">
        <v>8827</v>
      </c>
      <c r="AI16" s="24">
        <v>9023</v>
      </c>
      <c r="AJ16" s="24">
        <v>8013</v>
      </c>
      <c r="AK16" s="173">
        <v>0.54579999999999995</v>
      </c>
      <c r="AL16" s="173">
        <v>0.4884</v>
      </c>
      <c r="AM16" s="173">
        <v>0.4178</v>
      </c>
      <c r="AN16" s="173">
        <v>0.54159999999999997</v>
      </c>
      <c r="AO16" s="173">
        <v>0.48470000000000002</v>
      </c>
      <c r="AP16" s="173">
        <v>0.41420000000000001</v>
      </c>
      <c r="AQ16" s="24">
        <v>16173</v>
      </c>
      <c r="AR16" s="24">
        <v>18477</v>
      </c>
      <c r="AS16" s="24">
        <v>19183</v>
      </c>
      <c r="AT16" s="173">
        <v>0.1</v>
      </c>
      <c r="AU16" s="173">
        <v>7.1999999999999995E-2</v>
      </c>
      <c r="AV16" s="173">
        <v>0.11899999999999999</v>
      </c>
      <c r="AW16" s="173">
        <v>0.11899999999999999</v>
      </c>
      <c r="AX16" s="171">
        <v>0.11899999999999999</v>
      </c>
      <c r="AY16" s="171">
        <v>0.11899999999999999</v>
      </c>
      <c r="AZ16" s="173">
        <v>1.4624999999999999</v>
      </c>
      <c r="BA16" s="173">
        <v>1.0645</v>
      </c>
      <c r="BB16" s="20"/>
      <c r="BC16" s="20"/>
      <c r="BD16" s="21"/>
      <c r="BE16" s="20"/>
      <c r="BF16" s="20"/>
    </row>
    <row r="17" spans="1:58" x14ac:dyDescent="0.25">
      <c r="A17" s="13">
        <v>8</v>
      </c>
      <c r="B17" s="13">
        <v>136</v>
      </c>
      <c r="C17" s="2" t="str">
        <f>IF($J$1="ENG","Ukrsibbank","УкрСиббанк")</f>
        <v>УкрСиббанк</v>
      </c>
      <c r="D17" s="13" t="str">
        <f t="shared" ref="D17:D24" si="3">IF($J$1="ENG","Foreign banks","Банки іноземних банківських груп")</f>
        <v>Банки іноземних банківських груп</v>
      </c>
      <c r="E17" s="19">
        <v>6245</v>
      </c>
      <c r="F17" s="19">
        <v>6851</v>
      </c>
      <c r="G17" s="170">
        <v>0.2354</v>
      </c>
      <c r="H17" s="170">
        <v>0.21460000000000001</v>
      </c>
      <c r="I17" s="19">
        <v>29098</v>
      </c>
      <c r="J17" s="12" t="str">
        <f t="shared" si="2"/>
        <v>ні</v>
      </c>
      <c r="K17" s="19">
        <v>6245</v>
      </c>
      <c r="L17" s="19">
        <v>6869</v>
      </c>
      <c r="M17" s="170">
        <v>0.2359</v>
      </c>
      <c r="N17" s="170">
        <v>0.2145</v>
      </c>
      <c r="O17" s="19">
        <v>29112</v>
      </c>
      <c r="P17" s="19">
        <v>8016</v>
      </c>
      <c r="Q17" s="19">
        <v>8830</v>
      </c>
      <c r="R17" s="19">
        <v>9353</v>
      </c>
      <c r="S17" s="19">
        <v>8021</v>
      </c>
      <c r="T17" s="19">
        <v>8835</v>
      </c>
      <c r="U17" s="19">
        <v>9358</v>
      </c>
      <c r="V17" s="170">
        <v>0.22270000000000001</v>
      </c>
      <c r="W17" s="170">
        <v>0.21460000000000001</v>
      </c>
      <c r="X17" s="170">
        <v>0.22739999999999999</v>
      </c>
      <c r="Y17" s="170">
        <v>0.22259999999999999</v>
      </c>
      <c r="Z17" s="170">
        <v>0.21440000000000001</v>
      </c>
      <c r="AA17" s="170">
        <v>0.2273</v>
      </c>
      <c r="AB17" s="19">
        <v>36013</v>
      </c>
      <c r="AC17" s="19">
        <v>41184</v>
      </c>
      <c r="AD17" s="19">
        <v>41148</v>
      </c>
      <c r="AE17" s="19">
        <v>6803</v>
      </c>
      <c r="AF17" s="19">
        <v>6251</v>
      </c>
      <c r="AG17" s="19">
        <v>6044</v>
      </c>
      <c r="AH17" s="19">
        <v>6808</v>
      </c>
      <c r="AI17" s="19">
        <v>6256</v>
      </c>
      <c r="AJ17" s="19">
        <v>6049</v>
      </c>
      <c r="AK17" s="172">
        <v>0.18429999999999999</v>
      </c>
      <c r="AL17" s="172">
        <v>0.14979999999999999</v>
      </c>
      <c r="AM17" s="172">
        <v>0.14299999999999999</v>
      </c>
      <c r="AN17" s="172">
        <v>0.1842</v>
      </c>
      <c r="AO17" s="172">
        <v>0.1497</v>
      </c>
      <c r="AP17" s="172">
        <v>0.1429</v>
      </c>
      <c r="AQ17" s="19">
        <v>36932</v>
      </c>
      <c r="AR17" s="19">
        <v>41757</v>
      </c>
      <c r="AS17" s="19">
        <v>42296</v>
      </c>
      <c r="AT17" s="172">
        <v>0.1</v>
      </c>
      <c r="AU17" s="172">
        <v>7.0000000000000007E-2</v>
      </c>
      <c r="AV17" s="172">
        <v>0.1</v>
      </c>
      <c r="AW17" s="172">
        <v>7.0000000000000007E-2</v>
      </c>
      <c r="AX17" s="170">
        <v>0.1</v>
      </c>
      <c r="AY17" s="170">
        <v>7.0000000000000007E-2</v>
      </c>
      <c r="AZ17" s="172">
        <v>0.24410000000000001</v>
      </c>
      <c r="BA17" s="172">
        <v>0.20519999999999999</v>
      </c>
      <c r="BB17" s="20"/>
      <c r="BC17" s="20"/>
      <c r="BD17" s="21"/>
      <c r="BE17" s="20"/>
      <c r="BF17" s="20"/>
    </row>
    <row r="18" spans="1:58" x14ac:dyDescent="0.25">
      <c r="A18" s="13">
        <v>9</v>
      </c>
      <c r="B18" s="13">
        <v>296</v>
      </c>
      <c r="C18" s="2" t="str">
        <f>IF($J$1="ENG","OTP Bank","ОТП Банк")</f>
        <v>ОТП Банк</v>
      </c>
      <c r="D18" s="13" t="str">
        <f t="shared" si="3"/>
        <v>Банки іноземних банківських груп</v>
      </c>
      <c r="E18" s="19">
        <v>7067</v>
      </c>
      <c r="F18" s="19">
        <v>8621</v>
      </c>
      <c r="G18" s="170">
        <v>0.25359999999999999</v>
      </c>
      <c r="H18" s="170">
        <v>0.2079</v>
      </c>
      <c r="I18" s="19">
        <v>33991</v>
      </c>
      <c r="J18" s="12" t="str">
        <f t="shared" si="2"/>
        <v>ні</v>
      </c>
      <c r="K18" s="19">
        <v>7067</v>
      </c>
      <c r="L18" s="19">
        <v>8616</v>
      </c>
      <c r="M18" s="170">
        <v>0.2535</v>
      </c>
      <c r="N18" s="170">
        <v>0.2079</v>
      </c>
      <c r="O18" s="19">
        <v>33991</v>
      </c>
      <c r="P18" s="19">
        <v>9371</v>
      </c>
      <c r="Q18" s="19">
        <v>11266</v>
      </c>
      <c r="R18" s="19">
        <v>12887</v>
      </c>
      <c r="S18" s="19">
        <v>9232</v>
      </c>
      <c r="T18" s="19">
        <v>11127</v>
      </c>
      <c r="U18" s="19">
        <v>12748</v>
      </c>
      <c r="V18" s="170">
        <v>0.22559999999999999</v>
      </c>
      <c r="W18" s="170">
        <v>0.24590000000000001</v>
      </c>
      <c r="X18" s="170">
        <v>0.28220000000000001</v>
      </c>
      <c r="Y18" s="170">
        <v>0.22900000000000001</v>
      </c>
      <c r="Z18" s="170">
        <v>0.249</v>
      </c>
      <c r="AA18" s="170">
        <v>0.28520000000000001</v>
      </c>
      <c r="AB18" s="19">
        <v>40923</v>
      </c>
      <c r="AC18" s="19">
        <v>45246</v>
      </c>
      <c r="AD18" s="19">
        <v>45186</v>
      </c>
      <c r="AE18" s="19">
        <v>7385</v>
      </c>
      <c r="AF18" s="19">
        <v>7704</v>
      </c>
      <c r="AG18" s="19">
        <v>8550</v>
      </c>
      <c r="AH18" s="19">
        <v>7246</v>
      </c>
      <c r="AI18" s="19">
        <v>7565</v>
      </c>
      <c r="AJ18" s="19">
        <v>8411</v>
      </c>
      <c r="AK18" s="172">
        <v>0.1762</v>
      </c>
      <c r="AL18" s="172">
        <v>0.1686</v>
      </c>
      <c r="AM18" s="172">
        <v>0.1845</v>
      </c>
      <c r="AN18" s="172">
        <v>0.17960000000000001</v>
      </c>
      <c r="AO18" s="172">
        <v>0.17169999999999999</v>
      </c>
      <c r="AP18" s="172">
        <v>0.18759999999999999</v>
      </c>
      <c r="AQ18" s="19">
        <v>41121</v>
      </c>
      <c r="AR18" s="19">
        <v>44868</v>
      </c>
      <c r="AS18" s="19">
        <v>45578</v>
      </c>
      <c r="AT18" s="172">
        <v>0.1</v>
      </c>
      <c r="AU18" s="172">
        <v>7.0000000000000007E-2</v>
      </c>
      <c r="AV18" s="172">
        <v>0.1</v>
      </c>
      <c r="AW18" s="172">
        <v>7.0000000000000007E-2</v>
      </c>
      <c r="AX18" s="170">
        <v>0.1</v>
      </c>
      <c r="AY18" s="170">
        <v>7.0000000000000007E-2</v>
      </c>
      <c r="AZ18" s="172">
        <v>0.22670000000000001</v>
      </c>
      <c r="BA18" s="172">
        <v>0.15959999999999999</v>
      </c>
      <c r="BB18" s="20"/>
      <c r="BC18" s="20"/>
      <c r="BD18" s="21"/>
      <c r="BE18" s="20"/>
      <c r="BF18" s="20"/>
    </row>
    <row r="19" spans="1:58" s="77" customFormat="1" x14ac:dyDescent="0.25">
      <c r="A19" s="73">
        <v>10</v>
      </c>
      <c r="B19" s="73">
        <v>171</v>
      </c>
      <c r="C19" s="74" t="str">
        <f>IF($J$1="ENG","Credit Agricole Bank","Креді Агріколь Банк")</f>
        <v>Креді Агріколь Банк</v>
      </c>
      <c r="D19" s="73" t="str">
        <f t="shared" si="3"/>
        <v>Банки іноземних банківських груп</v>
      </c>
      <c r="E19" s="24">
        <v>3111</v>
      </c>
      <c r="F19" s="24">
        <v>6220</v>
      </c>
      <c r="G19" s="171">
        <v>0.17879999999999999</v>
      </c>
      <c r="H19" s="171">
        <v>8.9399999999999993E-2</v>
      </c>
      <c r="I19" s="24">
        <v>34794</v>
      </c>
      <c r="J19" s="11" t="str">
        <f t="shared" si="2"/>
        <v>ні</v>
      </c>
      <c r="K19" s="24">
        <v>3111</v>
      </c>
      <c r="L19" s="24">
        <v>6220</v>
      </c>
      <c r="M19" s="171">
        <v>0.17879999999999999</v>
      </c>
      <c r="N19" s="171">
        <v>8.9399999999999993E-2</v>
      </c>
      <c r="O19" s="24">
        <v>34794</v>
      </c>
      <c r="P19" s="24">
        <v>5903</v>
      </c>
      <c r="Q19" s="24">
        <v>7054</v>
      </c>
      <c r="R19" s="24">
        <v>7880</v>
      </c>
      <c r="S19" s="24">
        <v>6454</v>
      </c>
      <c r="T19" s="24">
        <v>7450</v>
      </c>
      <c r="U19" s="24">
        <v>8108</v>
      </c>
      <c r="V19" s="171">
        <v>0.1676</v>
      </c>
      <c r="W19" s="171">
        <v>0.1787</v>
      </c>
      <c r="X19" s="171">
        <v>0.19470000000000001</v>
      </c>
      <c r="Y19" s="171">
        <v>0.15329999999999999</v>
      </c>
      <c r="Z19" s="171">
        <v>0.16919999999999999</v>
      </c>
      <c r="AA19" s="171">
        <v>0.18920000000000001</v>
      </c>
      <c r="AB19" s="24">
        <v>38506</v>
      </c>
      <c r="AC19" s="24">
        <v>41692</v>
      </c>
      <c r="AD19" s="24">
        <v>41647</v>
      </c>
      <c r="AE19" s="24">
        <v>4708</v>
      </c>
      <c r="AF19" s="24">
        <v>4438</v>
      </c>
      <c r="AG19" s="24">
        <v>4722</v>
      </c>
      <c r="AH19" s="24">
        <v>5353</v>
      </c>
      <c r="AI19" s="24">
        <v>4918</v>
      </c>
      <c r="AJ19" s="24">
        <v>5022</v>
      </c>
      <c r="AK19" s="173">
        <v>0.1336</v>
      </c>
      <c r="AL19" s="173">
        <v>0.11459999999999999</v>
      </c>
      <c r="AM19" s="173">
        <v>0.11509999999999999</v>
      </c>
      <c r="AN19" s="173">
        <v>0.11749999999999999</v>
      </c>
      <c r="AO19" s="173">
        <v>0.10340000000000001</v>
      </c>
      <c r="AP19" s="173">
        <v>0.1082</v>
      </c>
      <c r="AQ19" s="24">
        <v>40068</v>
      </c>
      <c r="AR19" s="24">
        <v>42920</v>
      </c>
      <c r="AS19" s="24">
        <v>43644</v>
      </c>
      <c r="AT19" s="173">
        <v>0.1</v>
      </c>
      <c r="AU19" s="173">
        <v>7.0000000000000007E-2</v>
      </c>
      <c r="AV19" s="173">
        <v>0.1</v>
      </c>
      <c r="AW19" s="173">
        <v>7.0000000000000007E-2</v>
      </c>
      <c r="AX19" s="171">
        <v>0.1</v>
      </c>
      <c r="AY19" s="171">
        <v>7.0000000000000007E-2</v>
      </c>
      <c r="AZ19" s="173">
        <v>0.15359999999999999</v>
      </c>
      <c r="BA19" s="173">
        <v>8.8499999999999995E-2</v>
      </c>
      <c r="BB19" s="75"/>
      <c r="BC19" s="75"/>
      <c r="BD19" s="76"/>
      <c r="BE19" s="75"/>
      <c r="BF19" s="75"/>
    </row>
    <row r="20" spans="1:58" x14ac:dyDescent="0.25">
      <c r="A20" s="13">
        <v>11</v>
      </c>
      <c r="B20" s="13">
        <v>298</v>
      </c>
      <c r="C20" s="2" t="str">
        <f>IF($J$1="ENG","Procredit","Прокредит")</f>
        <v>Прокредит</v>
      </c>
      <c r="D20" s="13" t="str">
        <f t="shared" si="3"/>
        <v>Банки іноземних банківських груп</v>
      </c>
      <c r="E20" s="19">
        <v>3241</v>
      </c>
      <c r="F20" s="19">
        <v>3728</v>
      </c>
      <c r="G20" s="170">
        <v>0.17319999999999999</v>
      </c>
      <c r="H20" s="170">
        <v>0.15049999999999999</v>
      </c>
      <c r="I20" s="19">
        <v>21534</v>
      </c>
      <c r="J20" s="12" t="str">
        <f t="shared" si="2"/>
        <v>ні</v>
      </c>
      <c r="K20" s="19">
        <v>3241</v>
      </c>
      <c r="L20" s="19">
        <v>3717</v>
      </c>
      <c r="M20" s="170">
        <v>0.17269999999999999</v>
      </c>
      <c r="N20" s="170">
        <v>0.15060000000000001</v>
      </c>
      <c r="O20" s="19">
        <v>21519</v>
      </c>
      <c r="P20" s="19">
        <v>3720</v>
      </c>
      <c r="Q20" s="19">
        <v>4404</v>
      </c>
      <c r="R20" s="19">
        <v>4864</v>
      </c>
      <c r="S20" s="19">
        <v>3720</v>
      </c>
      <c r="T20" s="19">
        <v>4404</v>
      </c>
      <c r="U20" s="19">
        <v>4864</v>
      </c>
      <c r="V20" s="170">
        <v>0.16539999999999999</v>
      </c>
      <c r="W20" s="170">
        <v>0.185</v>
      </c>
      <c r="X20" s="170">
        <v>0.20480000000000001</v>
      </c>
      <c r="Y20" s="170">
        <v>0.16539999999999999</v>
      </c>
      <c r="Z20" s="170">
        <v>0.185</v>
      </c>
      <c r="AA20" s="170">
        <v>0.20480000000000001</v>
      </c>
      <c r="AB20" s="19">
        <v>22489</v>
      </c>
      <c r="AC20" s="19">
        <v>23807</v>
      </c>
      <c r="AD20" s="19">
        <v>23749</v>
      </c>
      <c r="AE20" s="19">
        <v>2996</v>
      </c>
      <c r="AF20" s="19">
        <v>2534</v>
      </c>
      <c r="AG20" s="19">
        <v>2733</v>
      </c>
      <c r="AH20" s="19">
        <v>2996</v>
      </c>
      <c r="AI20" s="19">
        <v>2534</v>
      </c>
      <c r="AJ20" s="19">
        <v>2733</v>
      </c>
      <c r="AK20" s="172">
        <v>0.12590000000000001</v>
      </c>
      <c r="AL20" s="172">
        <v>0.1028</v>
      </c>
      <c r="AM20" s="172">
        <v>0.1084</v>
      </c>
      <c r="AN20" s="172">
        <v>0.12590000000000001</v>
      </c>
      <c r="AO20" s="172">
        <v>0.1028</v>
      </c>
      <c r="AP20" s="172">
        <v>0.1084</v>
      </c>
      <c r="AQ20" s="19">
        <v>23793</v>
      </c>
      <c r="AR20" s="19">
        <v>24645</v>
      </c>
      <c r="AS20" s="19">
        <v>25216</v>
      </c>
      <c r="AT20" s="172">
        <v>0.1</v>
      </c>
      <c r="AU20" s="172">
        <v>7.0000000000000007E-2</v>
      </c>
      <c r="AV20" s="172">
        <v>0.1</v>
      </c>
      <c r="AW20" s="172">
        <v>7.0000000000000007E-2</v>
      </c>
      <c r="AX20" s="170">
        <v>0.1</v>
      </c>
      <c r="AY20" s="170">
        <v>7.0000000000000007E-2</v>
      </c>
      <c r="AZ20" s="172">
        <v>0.15590000000000001</v>
      </c>
      <c r="BA20" s="172">
        <v>0.13320000000000001</v>
      </c>
      <c r="BB20" s="20"/>
      <c r="BC20" s="20"/>
      <c r="BD20" s="21"/>
      <c r="BE20" s="20"/>
      <c r="BF20" s="20"/>
    </row>
    <row r="21" spans="1:58" x14ac:dyDescent="0.25">
      <c r="A21" s="13">
        <v>12</v>
      </c>
      <c r="B21" s="13">
        <v>88</v>
      </c>
      <c r="C21" s="2" t="str">
        <f>IF($J$1="ENG","Kredobank","Кредобанк")</f>
        <v>Кредобанк</v>
      </c>
      <c r="D21" s="13" t="str">
        <f t="shared" si="3"/>
        <v>Банки іноземних банківських груп</v>
      </c>
      <c r="E21" s="19">
        <v>2045</v>
      </c>
      <c r="F21" s="19">
        <v>2151</v>
      </c>
      <c r="G21" s="170">
        <v>0.1535</v>
      </c>
      <c r="H21" s="170">
        <v>0.14599999999999999</v>
      </c>
      <c r="I21" s="19">
        <v>14010</v>
      </c>
      <c r="J21" s="12" t="str">
        <f t="shared" si="2"/>
        <v>ні</v>
      </c>
      <c r="K21" s="19">
        <v>2045</v>
      </c>
      <c r="L21" s="19">
        <v>2151</v>
      </c>
      <c r="M21" s="170">
        <v>0.1535</v>
      </c>
      <c r="N21" s="170">
        <v>0.14599999999999999</v>
      </c>
      <c r="O21" s="19">
        <v>14010</v>
      </c>
      <c r="P21" s="19">
        <v>2509</v>
      </c>
      <c r="Q21" s="19">
        <v>2939</v>
      </c>
      <c r="R21" s="19">
        <v>3223</v>
      </c>
      <c r="S21" s="19">
        <v>2615</v>
      </c>
      <c r="T21" s="19">
        <v>3045</v>
      </c>
      <c r="U21" s="19">
        <v>3329</v>
      </c>
      <c r="V21" s="170">
        <v>0.1593</v>
      </c>
      <c r="W21" s="170">
        <v>0.16700000000000001</v>
      </c>
      <c r="X21" s="170">
        <v>0.18290000000000001</v>
      </c>
      <c r="Y21" s="170">
        <v>0.15279999999999999</v>
      </c>
      <c r="Z21" s="170">
        <v>0.16120000000000001</v>
      </c>
      <c r="AA21" s="170">
        <v>0.17699999999999999</v>
      </c>
      <c r="AB21" s="19">
        <v>16418</v>
      </c>
      <c r="AC21" s="19">
        <v>18230</v>
      </c>
      <c r="AD21" s="19">
        <v>18210</v>
      </c>
      <c r="AE21" s="19">
        <v>970</v>
      </c>
      <c r="AF21" s="19">
        <v>865</v>
      </c>
      <c r="AG21" s="19">
        <v>1056</v>
      </c>
      <c r="AH21" s="19">
        <v>1076</v>
      </c>
      <c r="AI21" s="19">
        <v>971</v>
      </c>
      <c r="AJ21" s="19">
        <v>1162</v>
      </c>
      <c r="AK21" s="172">
        <v>6.4899999999999999E-2</v>
      </c>
      <c r="AL21" s="172">
        <v>5.3699999999999998E-2</v>
      </c>
      <c r="AM21" s="172">
        <v>6.3500000000000001E-2</v>
      </c>
      <c r="AN21" s="172">
        <v>5.8599999999999999E-2</v>
      </c>
      <c r="AO21" s="172">
        <v>4.7899999999999998E-2</v>
      </c>
      <c r="AP21" s="172">
        <v>5.7700000000000001E-2</v>
      </c>
      <c r="AQ21" s="19">
        <v>16561</v>
      </c>
      <c r="AR21" s="19">
        <v>18056</v>
      </c>
      <c r="AS21" s="19">
        <v>18299</v>
      </c>
      <c r="AT21" s="172">
        <v>0.1</v>
      </c>
      <c r="AU21" s="172">
        <v>7.0000000000000007E-2</v>
      </c>
      <c r="AV21" s="172">
        <v>0.11899999999999999</v>
      </c>
      <c r="AW21" s="172">
        <v>0.11899999999999999</v>
      </c>
      <c r="AX21" s="170">
        <v>0.1</v>
      </c>
      <c r="AY21" s="170">
        <v>7.0000000000000007E-2</v>
      </c>
      <c r="AZ21" s="172">
        <v>0.1394</v>
      </c>
      <c r="BA21" s="172">
        <v>0.13439999999999999</v>
      </c>
      <c r="BB21" s="20"/>
      <c r="BC21" s="20"/>
      <c r="BD21" s="21"/>
      <c r="BE21" s="20"/>
      <c r="BF21" s="20"/>
    </row>
    <row r="22" spans="1:58" x14ac:dyDescent="0.25">
      <c r="A22" s="13">
        <v>13</v>
      </c>
      <c r="B22" s="13">
        <v>142</v>
      </c>
      <c r="C22" s="2" t="str">
        <f>IF($J$1="ENG","Idea Bank","Ідея Банк")</f>
        <v>Ідея Банк</v>
      </c>
      <c r="D22" s="13" t="str">
        <f t="shared" si="3"/>
        <v>Банки іноземних банківських груп</v>
      </c>
      <c r="E22" s="19">
        <v>472</v>
      </c>
      <c r="F22" s="19">
        <v>891</v>
      </c>
      <c r="G22" s="170">
        <v>0.21060000000000001</v>
      </c>
      <c r="H22" s="170">
        <v>0.1116</v>
      </c>
      <c r="I22" s="19">
        <v>4232</v>
      </c>
      <c r="J22" s="12" t="str">
        <f t="shared" si="2"/>
        <v>ні</v>
      </c>
      <c r="K22" s="19">
        <v>472</v>
      </c>
      <c r="L22" s="19">
        <v>891</v>
      </c>
      <c r="M22" s="170">
        <v>0.21060000000000001</v>
      </c>
      <c r="N22" s="170">
        <v>0.1116</v>
      </c>
      <c r="O22" s="19">
        <v>4232</v>
      </c>
      <c r="P22" s="19">
        <v>1150</v>
      </c>
      <c r="Q22" s="19">
        <v>1668</v>
      </c>
      <c r="R22" s="19">
        <v>2148</v>
      </c>
      <c r="S22" s="19">
        <v>1194</v>
      </c>
      <c r="T22" s="19">
        <v>1696</v>
      </c>
      <c r="U22" s="19">
        <v>2175</v>
      </c>
      <c r="V22" s="170">
        <v>0.16489999999999999</v>
      </c>
      <c r="W22" s="170">
        <v>0.19789999999999999</v>
      </c>
      <c r="X22" s="170">
        <v>0.25480000000000003</v>
      </c>
      <c r="Y22" s="170">
        <v>0.1588</v>
      </c>
      <c r="Z22" s="170">
        <v>0.19470000000000001</v>
      </c>
      <c r="AA22" s="170">
        <v>0.25159999999999999</v>
      </c>
      <c r="AB22" s="19">
        <v>7240</v>
      </c>
      <c r="AC22" s="19">
        <v>8567</v>
      </c>
      <c r="AD22" s="19">
        <v>8536</v>
      </c>
      <c r="AE22" s="19">
        <v>995</v>
      </c>
      <c r="AF22" s="19">
        <v>1303</v>
      </c>
      <c r="AG22" s="19">
        <v>1782</v>
      </c>
      <c r="AH22" s="19">
        <v>1042</v>
      </c>
      <c r="AI22" s="19">
        <v>1331</v>
      </c>
      <c r="AJ22" s="19">
        <v>1810</v>
      </c>
      <c r="AK22" s="172">
        <v>0.14810000000000001</v>
      </c>
      <c r="AL22" s="172">
        <v>0.1646</v>
      </c>
      <c r="AM22" s="172">
        <v>0.22539999999999999</v>
      </c>
      <c r="AN22" s="172">
        <v>0.14149999999999999</v>
      </c>
      <c r="AO22" s="172">
        <v>0.16120000000000001</v>
      </c>
      <c r="AP22" s="172">
        <v>0.222</v>
      </c>
      <c r="AQ22" s="19">
        <v>7034</v>
      </c>
      <c r="AR22" s="19">
        <v>8085</v>
      </c>
      <c r="AS22" s="19">
        <v>8029</v>
      </c>
      <c r="AT22" s="172">
        <v>0.1</v>
      </c>
      <c r="AU22" s="172">
        <v>7.0000000000000007E-2</v>
      </c>
      <c r="AV22" s="172">
        <v>0.1</v>
      </c>
      <c r="AW22" s="173">
        <v>7.0000000000000007E-2</v>
      </c>
      <c r="AX22" s="171">
        <v>0.1</v>
      </c>
      <c r="AY22" s="171">
        <v>7.0000000000000007E-2</v>
      </c>
      <c r="AZ22" s="173">
        <v>0.20799999999999999</v>
      </c>
      <c r="BA22" s="172">
        <v>0.1207</v>
      </c>
      <c r="BB22" s="20"/>
      <c r="BC22" s="20"/>
      <c r="BD22" s="21"/>
      <c r="BE22" s="20"/>
      <c r="BF22" s="20"/>
    </row>
    <row r="23" spans="1:58" x14ac:dyDescent="0.25">
      <c r="A23" s="13">
        <v>14</v>
      </c>
      <c r="B23" s="13">
        <v>153</v>
      </c>
      <c r="C23" s="7" t="str">
        <f>IF($J$1="ENG","Pravex","Правекс")</f>
        <v>Правекс</v>
      </c>
      <c r="D23" s="13" t="str">
        <f t="shared" si="3"/>
        <v>Банки іноземних банківських груп</v>
      </c>
      <c r="E23" s="19">
        <v>1296</v>
      </c>
      <c r="F23" s="19">
        <v>1354</v>
      </c>
      <c r="G23" s="170">
        <v>0.35720000000000002</v>
      </c>
      <c r="H23" s="170">
        <v>0.3417</v>
      </c>
      <c r="I23" s="19">
        <v>3793</v>
      </c>
      <c r="J23" s="12" t="str">
        <f t="shared" si="2"/>
        <v>ні</v>
      </c>
      <c r="K23" s="24">
        <v>1297</v>
      </c>
      <c r="L23" s="24">
        <v>1356</v>
      </c>
      <c r="M23" s="170">
        <v>0.35720000000000002</v>
      </c>
      <c r="N23" s="170">
        <v>0.3417</v>
      </c>
      <c r="O23" s="19">
        <v>3796</v>
      </c>
      <c r="P23" s="19">
        <v>1140</v>
      </c>
      <c r="Q23" s="19">
        <v>976</v>
      </c>
      <c r="R23" s="19">
        <v>755</v>
      </c>
      <c r="S23" s="19">
        <v>1199</v>
      </c>
      <c r="T23" s="19">
        <v>1034</v>
      </c>
      <c r="U23" s="19">
        <v>813</v>
      </c>
      <c r="V23" s="170">
        <v>0.27100000000000002</v>
      </c>
      <c r="W23" s="170">
        <v>0.21190000000000001</v>
      </c>
      <c r="X23" s="170">
        <v>0.16700000000000001</v>
      </c>
      <c r="Y23" s="170">
        <v>0.25779999999999997</v>
      </c>
      <c r="Z23" s="170">
        <v>0.19989999999999999</v>
      </c>
      <c r="AA23" s="170">
        <v>0.155</v>
      </c>
      <c r="AB23" s="19">
        <v>4423</v>
      </c>
      <c r="AC23" s="19">
        <v>4881</v>
      </c>
      <c r="AD23" s="19">
        <v>4870</v>
      </c>
      <c r="AE23" s="19">
        <v>831</v>
      </c>
      <c r="AF23" s="19">
        <v>553</v>
      </c>
      <c r="AG23" s="19">
        <v>325</v>
      </c>
      <c r="AH23" s="19">
        <v>890</v>
      </c>
      <c r="AI23" s="19">
        <v>612</v>
      </c>
      <c r="AJ23" s="19">
        <v>383</v>
      </c>
      <c r="AK23" s="172">
        <v>0.19439999999999999</v>
      </c>
      <c r="AL23" s="172">
        <v>0.1207</v>
      </c>
      <c r="AM23" s="172">
        <v>7.3599999999999999E-2</v>
      </c>
      <c r="AN23" s="172">
        <v>0.18160000000000001</v>
      </c>
      <c r="AO23" s="172">
        <v>0.10920000000000001</v>
      </c>
      <c r="AP23" s="172">
        <v>6.2399999999999997E-2</v>
      </c>
      <c r="AQ23" s="19">
        <v>4578</v>
      </c>
      <c r="AR23" s="19">
        <v>5066</v>
      </c>
      <c r="AS23" s="19">
        <v>5207</v>
      </c>
      <c r="AT23" s="172">
        <v>0.21299999999999999</v>
      </c>
      <c r="AU23" s="172">
        <v>0.21299999999999999</v>
      </c>
      <c r="AV23" s="172">
        <v>0.29099999999999998</v>
      </c>
      <c r="AW23" s="173">
        <v>0.29099999999999998</v>
      </c>
      <c r="AX23" s="171">
        <v>0.25800000000000001</v>
      </c>
      <c r="AY23" s="171">
        <v>0.25800000000000001</v>
      </c>
      <c r="AZ23" s="173">
        <v>0.26419999999999999</v>
      </c>
      <c r="BA23" s="172">
        <v>0.25190000000000001</v>
      </c>
      <c r="BB23" s="20"/>
      <c r="BC23" s="20"/>
      <c r="BD23" s="21"/>
      <c r="BE23" s="20"/>
      <c r="BF23" s="20"/>
    </row>
    <row r="24" spans="1:58" x14ac:dyDescent="0.25">
      <c r="A24" s="13">
        <v>15</v>
      </c>
      <c r="B24" s="13">
        <v>325</v>
      </c>
      <c r="C24" s="2" t="str">
        <f>IF($J$1="ENG","Forward","Форвард")</f>
        <v>Форвард</v>
      </c>
      <c r="D24" s="13" t="str">
        <f t="shared" si="3"/>
        <v>Банки іноземних банківських груп</v>
      </c>
      <c r="E24" s="19">
        <v>248</v>
      </c>
      <c r="F24" s="19">
        <v>248</v>
      </c>
      <c r="G24" s="170">
        <v>0.1221</v>
      </c>
      <c r="H24" s="170">
        <v>0.1221</v>
      </c>
      <c r="I24" s="19">
        <v>2031</v>
      </c>
      <c r="J24" s="12" t="str">
        <f t="shared" si="2"/>
        <v>ні</v>
      </c>
      <c r="K24" s="19">
        <v>229</v>
      </c>
      <c r="L24" s="19">
        <v>229</v>
      </c>
      <c r="M24" s="170">
        <v>0.114</v>
      </c>
      <c r="N24" s="170">
        <v>0.114</v>
      </c>
      <c r="O24" s="19">
        <v>2013</v>
      </c>
      <c r="P24" s="19">
        <v>222</v>
      </c>
      <c r="Q24" s="19">
        <v>221</v>
      </c>
      <c r="R24" s="19">
        <v>194</v>
      </c>
      <c r="S24" s="19">
        <v>222</v>
      </c>
      <c r="T24" s="19">
        <v>221</v>
      </c>
      <c r="U24" s="19">
        <v>194</v>
      </c>
      <c r="V24" s="170">
        <v>7.4300000000000005E-2</v>
      </c>
      <c r="W24" s="170">
        <v>6.59E-2</v>
      </c>
      <c r="X24" s="170">
        <v>5.8200000000000002E-2</v>
      </c>
      <c r="Y24" s="170">
        <v>7.4300000000000005E-2</v>
      </c>
      <c r="Z24" s="170">
        <v>6.59E-2</v>
      </c>
      <c r="AA24" s="170">
        <v>5.8200000000000002E-2</v>
      </c>
      <c r="AB24" s="19">
        <v>2992</v>
      </c>
      <c r="AC24" s="19">
        <v>3350</v>
      </c>
      <c r="AD24" s="19">
        <v>3339</v>
      </c>
      <c r="AE24" s="19">
        <v>127</v>
      </c>
      <c r="AF24" s="19">
        <v>-1</v>
      </c>
      <c r="AG24" s="19">
        <v>-58</v>
      </c>
      <c r="AH24" s="19">
        <v>127</v>
      </c>
      <c r="AI24" s="19">
        <v>-1</v>
      </c>
      <c r="AJ24" s="19">
        <v>-58</v>
      </c>
      <c r="AK24" s="172">
        <v>4.3099999999999999E-2</v>
      </c>
      <c r="AL24" s="172">
        <v>-2.9999999999999997E-4</v>
      </c>
      <c r="AM24" s="172">
        <v>-1.7999999999999999E-2</v>
      </c>
      <c r="AN24" s="172">
        <v>4.3099999999999999E-2</v>
      </c>
      <c r="AO24" s="172">
        <v>-2.9999999999999997E-4</v>
      </c>
      <c r="AP24" s="172">
        <v>-1.7999999999999999E-2</v>
      </c>
      <c r="AQ24" s="19">
        <v>2946</v>
      </c>
      <c r="AR24" s="19">
        <v>3683</v>
      </c>
      <c r="AS24" s="19">
        <v>3218</v>
      </c>
      <c r="AT24" s="172">
        <v>0.11700000000000001</v>
      </c>
      <c r="AU24" s="172">
        <v>8.6999999999999994E-2</v>
      </c>
      <c r="AV24" s="172">
        <v>0.193</v>
      </c>
      <c r="AW24" s="173">
        <v>0.17799999999999999</v>
      </c>
      <c r="AX24" s="171">
        <v>0.193</v>
      </c>
      <c r="AY24" s="171">
        <v>0.17799999999999999</v>
      </c>
      <c r="AZ24" s="173">
        <v>0.1183</v>
      </c>
      <c r="BA24" s="172">
        <v>0.1183</v>
      </c>
      <c r="BB24" s="20"/>
      <c r="BC24" s="20"/>
      <c r="BD24" s="21"/>
      <c r="BE24" s="20"/>
      <c r="BF24" s="20"/>
    </row>
    <row r="25" spans="1:58" x14ac:dyDescent="0.25">
      <c r="A25" s="13">
        <v>16</v>
      </c>
      <c r="B25" s="13">
        <v>115</v>
      </c>
      <c r="C25" s="2" t="str">
        <f>IF($J$1="ENG","FUIB","ПУМБ")</f>
        <v>ПУМБ</v>
      </c>
      <c r="D25" s="13" t="str">
        <f t="shared" ref="D25:D38" si="4">IF($J$1="ENG","Private banks","Банки з приватним капіталом")</f>
        <v>Банки з приватним капіталом</v>
      </c>
      <c r="E25" s="19">
        <v>6224</v>
      </c>
      <c r="F25" s="19">
        <v>8347</v>
      </c>
      <c r="G25" s="170">
        <v>0.17879999999999999</v>
      </c>
      <c r="H25" s="170">
        <v>0.1333</v>
      </c>
      <c r="I25" s="19">
        <v>46690</v>
      </c>
      <c r="J25" s="12" t="str">
        <f t="shared" si="2"/>
        <v>ні</v>
      </c>
      <c r="K25" s="19">
        <v>6224</v>
      </c>
      <c r="L25" s="19">
        <v>8215</v>
      </c>
      <c r="M25" s="170">
        <v>0.17649999999999999</v>
      </c>
      <c r="N25" s="170">
        <v>0.13370000000000001</v>
      </c>
      <c r="O25" s="19">
        <v>46550</v>
      </c>
      <c r="P25" s="19">
        <v>9561</v>
      </c>
      <c r="Q25" s="19">
        <v>12685</v>
      </c>
      <c r="R25" s="19">
        <v>15184</v>
      </c>
      <c r="S25" s="19">
        <v>9866</v>
      </c>
      <c r="T25" s="19">
        <v>12990</v>
      </c>
      <c r="U25" s="19">
        <v>15490</v>
      </c>
      <c r="V25" s="170">
        <v>0.1671</v>
      </c>
      <c r="W25" s="170">
        <v>0.19869999999999999</v>
      </c>
      <c r="X25" s="170">
        <v>0.23719999999999999</v>
      </c>
      <c r="Y25" s="170">
        <v>0.16189999999999999</v>
      </c>
      <c r="Z25" s="170">
        <v>0.19400000000000001</v>
      </c>
      <c r="AA25" s="170">
        <v>0.2326</v>
      </c>
      <c r="AB25" s="19">
        <v>59052</v>
      </c>
      <c r="AC25" s="19">
        <v>65386</v>
      </c>
      <c r="AD25" s="19">
        <v>65281</v>
      </c>
      <c r="AE25" s="19">
        <v>6098</v>
      </c>
      <c r="AF25" s="19">
        <v>6873</v>
      </c>
      <c r="AG25" s="19">
        <v>8736</v>
      </c>
      <c r="AH25" s="19">
        <v>6403</v>
      </c>
      <c r="AI25" s="19">
        <v>7179</v>
      </c>
      <c r="AJ25" s="19">
        <v>9041</v>
      </c>
      <c r="AK25" s="172">
        <v>0.1061</v>
      </c>
      <c r="AL25" s="172">
        <v>0.10970000000000001</v>
      </c>
      <c r="AM25" s="172">
        <v>0.13589999999999999</v>
      </c>
      <c r="AN25" s="172">
        <v>0.10100000000000001</v>
      </c>
      <c r="AO25" s="172">
        <v>0.1051</v>
      </c>
      <c r="AP25" s="172">
        <v>0.1313</v>
      </c>
      <c r="AQ25" s="19">
        <v>60374</v>
      </c>
      <c r="AR25" s="19">
        <v>65397</v>
      </c>
      <c r="AS25" s="19">
        <v>66536</v>
      </c>
      <c r="AT25" s="172">
        <v>0.1</v>
      </c>
      <c r="AU25" s="172">
        <v>7.0000000000000007E-2</v>
      </c>
      <c r="AV25" s="172">
        <v>0.1</v>
      </c>
      <c r="AW25" s="173">
        <v>7.0000000000000007E-2</v>
      </c>
      <c r="AX25" s="171">
        <v>0.1</v>
      </c>
      <c r="AY25" s="171">
        <v>7.0000000000000007E-2</v>
      </c>
      <c r="AZ25" s="173">
        <v>0.16439999999999999</v>
      </c>
      <c r="BA25" s="172">
        <v>0.1116</v>
      </c>
      <c r="BB25" s="20"/>
      <c r="BC25" s="20"/>
      <c r="BD25" s="21"/>
      <c r="BE25" s="20"/>
      <c r="BF25" s="20"/>
    </row>
    <row r="26" spans="1:58" x14ac:dyDescent="0.25">
      <c r="A26" s="13">
        <v>17</v>
      </c>
      <c r="B26" s="13">
        <v>106</v>
      </c>
      <c r="C26" s="2" t="str">
        <f>IF($J$1="ENG","Pivdennyi","Південний")</f>
        <v>Південний</v>
      </c>
      <c r="D26" s="13" t="str">
        <f t="shared" si="4"/>
        <v>Банки з приватним капіталом</v>
      </c>
      <c r="E26" s="19">
        <v>2263</v>
      </c>
      <c r="F26" s="19">
        <v>2857</v>
      </c>
      <c r="G26" s="170">
        <v>0.14269999999999999</v>
      </c>
      <c r="H26" s="170">
        <v>0.11310000000000001</v>
      </c>
      <c r="I26" s="19">
        <v>20009</v>
      </c>
      <c r="J26" s="12" t="str">
        <f t="shared" si="2"/>
        <v>ні</v>
      </c>
      <c r="K26" s="19">
        <v>2263</v>
      </c>
      <c r="L26" s="19">
        <v>2857</v>
      </c>
      <c r="M26" s="170">
        <v>0.14269999999999999</v>
      </c>
      <c r="N26" s="170">
        <v>0.11310000000000001</v>
      </c>
      <c r="O26" s="19">
        <v>20009</v>
      </c>
      <c r="P26" s="19">
        <v>3061</v>
      </c>
      <c r="Q26" s="19">
        <v>3513</v>
      </c>
      <c r="R26" s="19">
        <v>3651</v>
      </c>
      <c r="S26" s="19">
        <v>3117</v>
      </c>
      <c r="T26" s="19">
        <v>3562</v>
      </c>
      <c r="U26" s="19">
        <v>3693</v>
      </c>
      <c r="V26" s="170">
        <v>0.14349999999999999</v>
      </c>
      <c r="W26" s="170">
        <v>0.14949999999999999</v>
      </c>
      <c r="X26" s="170">
        <v>0.15659999999999999</v>
      </c>
      <c r="Y26" s="170">
        <v>0.1409</v>
      </c>
      <c r="Z26" s="170">
        <v>0.1474</v>
      </c>
      <c r="AA26" s="170">
        <v>0.15479999999999999</v>
      </c>
      <c r="AB26" s="19">
        <v>21726</v>
      </c>
      <c r="AC26" s="19">
        <v>23831</v>
      </c>
      <c r="AD26" s="19">
        <v>23584</v>
      </c>
      <c r="AE26" s="19">
        <v>1642</v>
      </c>
      <c r="AF26" s="19">
        <v>986</v>
      </c>
      <c r="AG26" s="19">
        <v>616</v>
      </c>
      <c r="AH26" s="19">
        <v>1702</v>
      </c>
      <c r="AI26" s="19">
        <v>1038</v>
      </c>
      <c r="AJ26" s="19">
        <v>661</v>
      </c>
      <c r="AK26" s="172">
        <v>7.2700000000000001E-2</v>
      </c>
      <c r="AL26" s="172">
        <v>4.0800000000000003E-2</v>
      </c>
      <c r="AM26" s="172">
        <v>2.5399999999999999E-2</v>
      </c>
      <c r="AN26" s="172">
        <v>7.0099999999999996E-2</v>
      </c>
      <c r="AO26" s="172">
        <v>3.8800000000000001E-2</v>
      </c>
      <c r="AP26" s="172">
        <v>2.3699999999999999E-2</v>
      </c>
      <c r="AQ26" s="19">
        <v>23428</v>
      </c>
      <c r="AR26" s="19">
        <v>25401</v>
      </c>
      <c r="AS26" s="19">
        <v>25987</v>
      </c>
      <c r="AT26" s="172">
        <v>0.1</v>
      </c>
      <c r="AU26" s="172">
        <v>7.0000000000000007E-2</v>
      </c>
      <c r="AV26" s="172">
        <v>0.158</v>
      </c>
      <c r="AW26" s="173">
        <v>0.14299999999999999</v>
      </c>
      <c r="AX26" s="171">
        <v>0.11</v>
      </c>
      <c r="AY26" s="171">
        <v>9.5000000000000001E-2</v>
      </c>
      <c r="AZ26" s="173">
        <v>0.15310000000000001</v>
      </c>
      <c r="BA26" s="172">
        <v>0.1069</v>
      </c>
      <c r="BB26" s="20"/>
      <c r="BC26" s="20"/>
      <c r="BD26" s="21"/>
      <c r="BE26" s="20"/>
      <c r="BF26" s="20"/>
    </row>
    <row r="27" spans="1:58" x14ac:dyDescent="0.25">
      <c r="A27" s="13">
        <v>18</v>
      </c>
      <c r="B27" s="13">
        <v>62</v>
      </c>
      <c r="C27" s="2" t="str">
        <f>IF($J$1="ENG","Taskombank","Таскомбанк")</f>
        <v>Таскомбанк</v>
      </c>
      <c r="D27" s="13" t="str">
        <f t="shared" si="4"/>
        <v>Банки з приватним капіталом</v>
      </c>
      <c r="E27" s="19">
        <v>1798</v>
      </c>
      <c r="F27" s="19">
        <v>2619</v>
      </c>
      <c r="G27" s="170">
        <v>0.1832</v>
      </c>
      <c r="H27" s="170">
        <v>0.1258</v>
      </c>
      <c r="I27" s="19">
        <v>14294</v>
      </c>
      <c r="J27" s="12" t="str">
        <f t="shared" si="2"/>
        <v>ні</v>
      </c>
      <c r="K27" s="19">
        <v>1798</v>
      </c>
      <c r="L27" s="19">
        <v>2619</v>
      </c>
      <c r="M27" s="170">
        <v>0.1832</v>
      </c>
      <c r="N27" s="170">
        <v>0.1258</v>
      </c>
      <c r="O27" s="19">
        <v>14294</v>
      </c>
      <c r="P27" s="19">
        <v>2305</v>
      </c>
      <c r="Q27" s="19">
        <v>2521</v>
      </c>
      <c r="R27" s="19">
        <v>2399</v>
      </c>
      <c r="S27" s="19">
        <v>2317</v>
      </c>
      <c r="T27" s="19">
        <v>2534</v>
      </c>
      <c r="U27" s="19">
        <v>2412</v>
      </c>
      <c r="V27" s="170">
        <v>0.14169999999999999</v>
      </c>
      <c r="W27" s="170">
        <v>0.1401</v>
      </c>
      <c r="X27" s="170">
        <v>0.1351</v>
      </c>
      <c r="Y27" s="170">
        <v>0.14099999999999999</v>
      </c>
      <c r="Z27" s="170">
        <v>0.1394</v>
      </c>
      <c r="AA27" s="170">
        <v>0.13439999999999999</v>
      </c>
      <c r="AB27" s="19">
        <v>16346</v>
      </c>
      <c r="AC27" s="19">
        <v>18088</v>
      </c>
      <c r="AD27" s="19">
        <v>17851</v>
      </c>
      <c r="AE27" s="19">
        <v>945</v>
      </c>
      <c r="AF27" s="19">
        <v>398</v>
      </c>
      <c r="AG27" s="19">
        <v>-21</v>
      </c>
      <c r="AH27" s="19">
        <v>958</v>
      </c>
      <c r="AI27" s="19">
        <v>410</v>
      </c>
      <c r="AJ27" s="19">
        <v>-21</v>
      </c>
      <c r="AK27" s="172">
        <v>5.7599999999999998E-2</v>
      </c>
      <c r="AL27" s="172">
        <v>2.2499999999999999E-2</v>
      </c>
      <c r="AM27" s="172">
        <v>-1.1000000000000001E-3</v>
      </c>
      <c r="AN27" s="172">
        <v>5.6899999999999999E-2</v>
      </c>
      <c r="AO27" s="172">
        <v>2.18E-2</v>
      </c>
      <c r="AP27" s="172">
        <v>-1.1000000000000001E-3</v>
      </c>
      <c r="AQ27" s="19">
        <v>16612</v>
      </c>
      <c r="AR27" s="19">
        <v>18251</v>
      </c>
      <c r="AS27" s="19">
        <v>19032</v>
      </c>
      <c r="AT27" s="172">
        <v>0.1</v>
      </c>
      <c r="AU27" s="172">
        <v>7.0000000000000007E-2</v>
      </c>
      <c r="AV27" s="172">
        <v>0.21299999999999999</v>
      </c>
      <c r="AW27" s="173">
        <v>0.19800000000000001</v>
      </c>
      <c r="AX27" s="171">
        <v>0.1</v>
      </c>
      <c r="AY27" s="171">
        <v>7.0000000000000007E-2</v>
      </c>
      <c r="AZ27" s="173">
        <v>0.1696</v>
      </c>
      <c r="BA27" s="172">
        <v>0.1263</v>
      </c>
      <c r="BB27" s="20"/>
      <c r="BC27" s="20"/>
      <c r="BD27" s="21"/>
      <c r="BE27" s="20"/>
      <c r="BF27" s="20"/>
    </row>
    <row r="28" spans="1:58" x14ac:dyDescent="0.25">
      <c r="A28" s="13">
        <v>19</v>
      </c>
      <c r="B28" s="13">
        <v>242</v>
      </c>
      <c r="C28" s="2" t="str">
        <f>IF($J$1="ENG","Universal","Універсал")</f>
        <v>Універсал</v>
      </c>
      <c r="D28" s="13" t="str">
        <f t="shared" si="4"/>
        <v>Банки з приватним капіталом</v>
      </c>
      <c r="E28" s="19">
        <v>1944</v>
      </c>
      <c r="F28" s="19">
        <v>2633</v>
      </c>
      <c r="G28" s="170">
        <v>0.14280000000000001</v>
      </c>
      <c r="H28" s="170">
        <v>0.10539999999999999</v>
      </c>
      <c r="I28" s="19">
        <v>18445</v>
      </c>
      <c r="J28" s="12" t="str">
        <f t="shared" si="2"/>
        <v>ні</v>
      </c>
      <c r="K28" s="19">
        <v>1944</v>
      </c>
      <c r="L28" s="19">
        <v>2633</v>
      </c>
      <c r="M28" s="170">
        <v>0.14280000000000001</v>
      </c>
      <c r="N28" s="170">
        <v>0.10539999999999999</v>
      </c>
      <c r="O28" s="19">
        <v>18445</v>
      </c>
      <c r="P28" s="19">
        <v>3726</v>
      </c>
      <c r="Q28" s="19">
        <v>4900</v>
      </c>
      <c r="R28" s="19">
        <v>5928</v>
      </c>
      <c r="S28" s="19">
        <v>3726</v>
      </c>
      <c r="T28" s="19">
        <v>4900</v>
      </c>
      <c r="U28" s="19">
        <v>5928</v>
      </c>
      <c r="V28" s="170">
        <v>0.1328</v>
      </c>
      <c r="W28" s="170">
        <v>0.15659999999999999</v>
      </c>
      <c r="X28" s="170">
        <v>0.18959999999999999</v>
      </c>
      <c r="Y28" s="170">
        <v>0.1328</v>
      </c>
      <c r="Z28" s="170">
        <v>0.15659999999999999</v>
      </c>
      <c r="AA28" s="170">
        <v>0.18959999999999999</v>
      </c>
      <c r="AB28" s="19">
        <v>28054</v>
      </c>
      <c r="AC28" s="19">
        <v>31293</v>
      </c>
      <c r="AD28" s="19">
        <v>31267</v>
      </c>
      <c r="AE28" s="19">
        <v>1549</v>
      </c>
      <c r="AF28" s="19">
        <v>1589</v>
      </c>
      <c r="AG28" s="19">
        <v>2213</v>
      </c>
      <c r="AH28" s="19">
        <v>1549</v>
      </c>
      <c r="AI28" s="19">
        <v>1589</v>
      </c>
      <c r="AJ28" s="19">
        <v>2213</v>
      </c>
      <c r="AK28" s="172">
        <v>5.62E-2</v>
      </c>
      <c r="AL28" s="172">
        <v>5.3499999999999999E-2</v>
      </c>
      <c r="AM28" s="172">
        <v>7.3999999999999996E-2</v>
      </c>
      <c r="AN28" s="172">
        <v>5.62E-2</v>
      </c>
      <c r="AO28" s="172">
        <v>5.3499999999999999E-2</v>
      </c>
      <c r="AP28" s="172">
        <v>7.3999999999999996E-2</v>
      </c>
      <c r="AQ28" s="19">
        <v>27562</v>
      </c>
      <c r="AR28" s="19">
        <v>29702</v>
      </c>
      <c r="AS28" s="19">
        <v>29902</v>
      </c>
      <c r="AT28" s="172">
        <v>0.1</v>
      </c>
      <c r="AU28" s="172">
        <v>7.0000000000000007E-2</v>
      </c>
      <c r="AV28" s="172">
        <v>0.1</v>
      </c>
      <c r="AW28" s="173">
        <v>9.4E-2</v>
      </c>
      <c r="AX28" s="171">
        <v>0.1</v>
      </c>
      <c r="AY28" s="171">
        <v>7.0000000000000007E-2</v>
      </c>
      <c r="AZ28" s="173">
        <v>0.1915</v>
      </c>
      <c r="BA28" s="172">
        <v>9.8100000000000007E-2</v>
      </c>
      <c r="BB28" s="20"/>
      <c r="BC28" s="20"/>
      <c r="BD28" s="21"/>
      <c r="BE28" s="20"/>
      <c r="BF28" s="20"/>
    </row>
    <row r="29" spans="1:58" x14ac:dyDescent="0.25">
      <c r="A29" s="13">
        <v>20</v>
      </c>
      <c r="B29" s="13">
        <v>270</v>
      </c>
      <c r="C29" s="2" t="str">
        <f>IF($J$1="ENG","Kredyt Dnipro","Кредит Дніпро")</f>
        <v>Кредит Дніпро</v>
      </c>
      <c r="D29" s="13" t="str">
        <f t="shared" si="4"/>
        <v>Банки з приватним капіталом</v>
      </c>
      <c r="E29" s="19">
        <v>911</v>
      </c>
      <c r="F29" s="19">
        <v>991</v>
      </c>
      <c r="G29" s="170">
        <v>0.15920000000000001</v>
      </c>
      <c r="H29" s="170">
        <v>0.14630000000000001</v>
      </c>
      <c r="I29" s="19">
        <v>6229</v>
      </c>
      <c r="J29" s="12" t="str">
        <f t="shared" si="2"/>
        <v>ні</v>
      </c>
      <c r="K29" s="19">
        <v>780</v>
      </c>
      <c r="L29" s="19">
        <v>860</v>
      </c>
      <c r="M29" s="170">
        <v>0.1414</v>
      </c>
      <c r="N29" s="170">
        <v>0.12820000000000001</v>
      </c>
      <c r="O29" s="19">
        <v>6081</v>
      </c>
      <c r="P29" s="19">
        <v>779</v>
      </c>
      <c r="Q29" s="19">
        <v>908</v>
      </c>
      <c r="R29" s="19">
        <v>1081</v>
      </c>
      <c r="S29" s="19">
        <v>860</v>
      </c>
      <c r="T29" s="19">
        <v>988</v>
      </c>
      <c r="U29" s="19">
        <v>1161</v>
      </c>
      <c r="V29" s="170">
        <v>0.12889999999999999</v>
      </c>
      <c r="W29" s="170">
        <v>0.12770000000000001</v>
      </c>
      <c r="X29" s="170">
        <v>0.15060000000000001</v>
      </c>
      <c r="Y29" s="170">
        <v>0.1169</v>
      </c>
      <c r="Z29" s="170">
        <v>0.1174</v>
      </c>
      <c r="AA29" s="170">
        <v>0.14019999999999999</v>
      </c>
      <c r="AB29" s="19">
        <v>6667</v>
      </c>
      <c r="AC29" s="19">
        <v>7736</v>
      </c>
      <c r="AD29" s="19">
        <v>7708</v>
      </c>
      <c r="AE29" s="19">
        <v>132</v>
      </c>
      <c r="AF29" s="19">
        <v>22</v>
      </c>
      <c r="AG29" s="19">
        <v>-57</v>
      </c>
      <c r="AH29" s="19">
        <v>212</v>
      </c>
      <c r="AI29" s="19">
        <v>44</v>
      </c>
      <c r="AJ29" s="19">
        <v>-58</v>
      </c>
      <c r="AK29" s="172">
        <v>3.0700000000000002E-2</v>
      </c>
      <c r="AL29" s="172">
        <v>5.5999999999999999E-3</v>
      </c>
      <c r="AM29" s="172">
        <v>-7.1000000000000004E-3</v>
      </c>
      <c r="AN29" s="172">
        <v>1.9099999999999999E-2</v>
      </c>
      <c r="AO29" s="172">
        <v>2.8E-3</v>
      </c>
      <c r="AP29" s="172">
        <v>-7.1000000000000004E-3</v>
      </c>
      <c r="AQ29" s="19">
        <v>6891</v>
      </c>
      <c r="AR29" s="19">
        <v>7974</v>
      </c>
      <c r="AS29" s="19">
        <v>8059</v>
      </c>
      <c r="AT29" s="172">
        <v>0.1</v>
      </c>
      <c r="AU29" s="172">
        <v>7.0000000000000007E-2</v>
      </c>
      <c r="AV29" s="172">
        <v>0.188</v>
      </c>
      <c r="AW29" s="173">
        <v>0.17299999999999999</v>
      </c>
      <c r="AX29" s="171">
        <v>0.1</v>
      </c>
      <c r="AY29" s="171">
        <v>7.0000000000000007E-2</v>
      </c>
      <c r="AZ29" s="173">
        <v>0.20699999999999999</v>
      </c>
      <c r="BA29" s="172">
        <v>0.10349999999999999</v>
      </c>
      <c r="BB29" s="20"/>
      <c r="BC29" s="20"/>
      <c r="BD29" s="21"/>
      <c r="BE29" s="20"/>
      <c r="BF29" s="20"/>
    </row>
    <row r="30" spans="1:58" x14ac:dyDescent="0.25">
      <c r="A30" s="13">
        <v>21</v>
      </c>
      <c r="B30" s="13">
        <v>305</v>
      </c>
      <c r="C30" s="2" t="str">
        <f>IF($J$1="ENG","Vostok","Восток")</f>
        <v>Восток</v>
      </c>
      <c r="D30" s="13" t="str">
        <f t="shared" si="4"/>
        <v>Банки з приватним капіталом</v>
      </c>
      <c r="E30" s="19">
        <v>841</v>
      </c>
      <c r="F30" s="19">
        <v>1086</v>
      </c>
      <c r="G30" s="170">
        <v>0.123</v>
      </c>
      <c r="H30" s="170">
        <v>9.5200000000000007E-2</v>
      </c>
      <c r="I30" s="19">
        <v>8830</v>
      </c>
      <c r="J30" s="12" t="str">
        <f t="shared" si="2"/>
        <v>ні</v>
      </c>
      <c r="K30" s="19">
        <v>841</v>
      </c>
      <c r="L30" s="19">
        <v>1063</v>
      </c>
      <c r="M30" s="170">
        <v>0.1207</v>
      </c>
      <c r="N30" s="170">
        <v>9.5500000000000002E-2</v>
      </c>
      <c r="O30" s="19">
        <v>8802</v>
      </c>
      <c r="P30" s="19">
        <v>1061</v>
      </c>
      <c r="Q30" s="19">
        <v>1227</v>
      </c>
      <c r="R30" s="19">
        <v>1264</v>
      </c>
      <c r="S30" s="19">
        <v>1164</v>
      </c>
      <c r="T30" s="19">
        <v>1321</v>
      </c>
      <c r="U30" s="19">
        <v>1334</v>
      </c>
      <c r="V30" s="170">
        <v>0.11899999999999999</v>
      </c>
      <c r="W30" s="170">
        <v>0.1212</v>
      </c>
      <c r="X30" s="170">
        <v>0.1227</v>
      </c>
      <c r="Y30" s="170">
        <v>0.1084</v>
      </c>
      <c r="Z30" s="170">
        <v>0.11269999999999999</v>
      </c>
      <c r="AA30" s="170">
        <v>0.1163</v>
      </c>
      <c r="AB30" s="19">
        <v>9785</v>
      </c>
      <c r="AC30" s="19">
        <v>10890</v>
      </c>
      <c r="AD30" s="19">
        <v>10867</v>
      </c>
      <c r="AE30" s="19">
        <v>395</v>
      </c>
      <c r="AF30" s="19">
        <v>43</v>
      </c>
      <c r="AG30" s="19">
        <v>-184</v>
      </c>
      <c r="AH30" s="19">
        <v>516</v>
      </c>
      <c r="AI30" s="19">
        <v>87</v>
      </c>
      <c r="AJ30" s="19">
        <v>-184</v>
      </c>
      <c r="AK30" s="172">
        <v>4.9700000000000001E-2</v>
      </c>
      <c r="AL30" s="172">
        <v>7.6E-3</v>
      </c>
      <c r="AM30" s="172">
        <v>-1.5699999999999999E-2</v>
      </c>
      <c r="AN30" s="172">
        <v>3.8100000000000002E-2</v>
      </c>
      <c r="AO30" s="172">
        <v>3.8E-3</v>
      </c>
      <c r="AP30" s="172">
        <v>-1.5699999999999999E-2</v>
      </c>
      <c r="AQ30" s="19">
        <v>10370</v>
      </c>
      <c r="AR30" s="19">
        <v>11428</v>
      </c>
      <c r="AS30" s="19">
        <v>11709</v>
      </c>
      <c r="AT30" s="172">
        <v>0.1</v>
      </c>
      <c r="AU30" s="172">
        <v>7.0000000000000007E-2</v>
      </c>
      <c r="AV30" s="172">
        <v>0.17899999999999999</v>
      </c>
      <c r="AW30" s="173">
        <v>0.16300000000000001</v>
      </c>
      <c r="AX30" s="171">
        <v>0.112</v>
      </c>
      <c r="AY30" s="171">
        <v>9.7000000000000003E-2</v>
      </c>
      <c r="AZ30" s="173">
        <v>0.14990000000000001</v>
      </c>
      <c r="BA30" s="172">
        <v>9.9599999999999994E-2</v>
      </c>
      <c r="BB30" s="20"/>
      <c r="BC30" s="20"/>
      <c r="BD30" s="21"/>
      <c r="BE30" s="20"/>
      <c r="BF30" s="20"/>
    </row>
    <row r="31" spans="1:58" x14ac:dyDescent="0.25">
      <c r="A31" s="13">
        <v>22</v>
      </c>
      <c r="B31" s="13">
        <v>126</v>
      </c>
      <c r="C31" s="2" t="str">
        <f>IF($J$1="ENG","Megabank","Мегабанк")</f>
        <v>Мегабанк</v>
      </c>
      <c r="D31" s="13" t="str">
        <f t="shared" si="4"/>
        <v>Банки з приватним капіталом</v>
      </c>
      <c r="E31" s="19">
        <v>641</v>
      </c>
      <c r="F31" s="19">
        <v>950</v>
      </c>
      <c r="G31" s="170">
        <v>0.1053</v>
      </c>
      <c r="H31" s="170">
        <v>7.1099999999999997E-2</v>
      </c>
      <c r="I31" s="19">
        <v>9018</v>
      </c>
      <c r="J31" s="12" t="str">
        <f t="shared" si="2"/>
        <v>ні</v>
      </c>
      <c r="K31" s="19">
        <v>498</v>
      </c>
      <c r="L31" s="19">
        <v>807</v>
      </c>
      <c r="M31" s="170">
        <v>9.0899999999999995E-2</v>
      </c>
      <c r="N31" s="170">
        <v>5.6099999999999997E-2</v>
      </c>
      <c r="O31" s="19">
        <v>8883</v>
      </c>
      <c r="P31" s="19">
        <v>-803</v>
      </c>
      <c r="Q31" s="19">
        <v>-1348</v>
      </c>
      <c r="R31" s="19">
        <v>-1896</v>
      </c>
      <c r="S31" s="19">
        <v>-803</v>
      </c>
      <c r="T31" s="19">
        <v>-1348</v>
      </c>
      <c r="U31" s="19">
        <v>-1896</v>
      </c>
      <c r="V31" s="170">
        <v>-9.5299999999999996E-2</v>
      </c>
      <c r="W31" s="170">
        <v>-0.14810000000000001</v>
      </c>
      <c r="X31" s="170">
        <v>-0.20860000000000001</v>
      </c>
      <c r="Y31" s="170">
        <v>-9.5299999999999996E-2</v>
      </c>
      <c r="Z31" s="170">
        <v>-0.14810000000000001</v>
      </c>
      <c r="AA31" s="170">
        <v>-0.20860000000000001</v>
      </c>
      <c r="AB31" s="19">
        <v>8429</v>
      </c>
      <c r="AC31" s="19">
        <v>9100</v>
      </c>
      <c r="AD31" s="19">
        <v>9087</v>
      </c>
      <c r="AE31" s="19">
        <v>-1121</v>
      </c>
      <c r="AF31" s="19">
        <v>-2005</v>
      </c>
      <c r="AG31" s="19">
        <v>-2741</v>
      </c>
      <c r="AH31" s="19">
        <v>-1121</v>
      </c>
      <c r="AI31" s="19">
        <v>-2005</v>
      </c>
      <c r="AJ31" s="19">
        <v>-2741</v>
      </c>
      <c r="AK31" s="172">
        <v>-0.12859999999999999</v>
      </c>
      <c r="AL31" s="172">
        <v>-0.21390000000000001</v>
      </c>
      <c r="AM31" s="172">
        <v>-0.28399999999999997</v>
      </c>
      <c r="AN31" s="172">
        <v>-0.12859999999999999</v>
      </c>
      <c r="AO31" s="172">
        <v>-0.21390000000000001</v>
      </c>
      <c r="AP31" s="172">
        <v>-0.28399999999999997</v>
      </c>
      <c r="AQ31" s="19">
        <v>8718</v>
      </c>
      <c r="AR31" s="19">
        <v>9374</v>
      </c>
      <c r="AS31" s="19">
        <v>9651</v>
      </c>
      <c r="AT31" s="172">
        <v>0.37</v>
      </c>
      <c r="AU31" s="172">
        <v>0.34</v>
      </c>
      <c r="AV31" s="172">
        <v>0.41499999999999998</v>
      </c>
      <c r="AW31" s="173">
        <v>0.4</v>
      </c>
      <c r="AX31" s="171">
        <v>0.41499999999999998</v>
      </c>
      <c r="AY31" s="171">
        <v>0.4</v>
      </c>
      <c r="AZ31" s="173">
        <v>0.1125</v>
      </c>
      <c r="BA31" s="172">
        <v>8.7099999999999997E-2</v>
      </c>
      <c r="BB31" s="20"/>
      <c r="BC31" s="20"/>
      <c r="BD31" s="21"/>
      <c r="BE31" s="20"/>
      <c r="BF31" s="20"/>
    </row>
    <row r="32" spans="1:58" x14ac:dyDescent="0.25">
      <c r="A32" s="13">
        <v>23</v>
      </c>
      <c r="B32" s="13">
        <v>96</v>
      </c>
      <c r="C32" s="2" t="str">
        <f>IF($J$1="ENG","A-Bank","А - Банк")</f>
        <v>А - Банк</v>
      </c>
      <c r="D32" s="13" t="str">
        <f t="shared" si="4"/>
        <v>Банки з приватним капіталом</v>
      </c>
      <c r="E32" s="19">
        <v>790</v>
      </c>
      <c r="F32" s="19">
        <v>1061</v>
      </c>
      <c r="G32" s="170">
        <v>0.1318</v>
      </c>
      <c r="H32" s="170">
        <v>9.8199999999999996E-2</v>
      </c>
      <c r="I32" s="19">
        <v>8050</v>
      </c>
      <c r="J32" s="12" t="str">
        <f t="shared" si="2"/>
        <v>ні</v>
      </c>
      <c r="K32" s="19">
        <v>790</v>
      </c>
      <c r="L32" s="19">
        <v>1061</v>
      </c>
      <c r="M32" s="170">
        <v>0.1318</v>
      </c>
      <c r="N32" s="170">
        <v>9.8199999999999996E-2</v>
      </c>
      <c r="O32" s="19">
        <v>8050</v>
      </c>
      <c r="P32" s="19">
        <v>1620</v>
      </c>
      <c r="Q32" s="19">
        <v>2171</v>
      </c>
      <c r="R32" s="19">
        <v>2652</v>
      </c>
      <c r="S32" s="19">
        <v>1622</v>
      </c>
      <c r="T32" s="19">
        <v>2173</v>
      </c>
      <c r="U32" s="19">
        <v>2654</v>
      </c>
      <c r="V32" s="170">
        <v>0.1298</v>
      </c>
      <c r="W32" s="170">
        <v>0.15529999999999999</v>
      </c>
      <c r="X32" s="170">
        <v>0.19020000000000001</v>
      </c>
      <c r="Y32" s="170">
        <v>0.12970000000000001</v>
      </c>
      <c r="Z32" s="170">
        <v>0.1552</v>
      </c>
      <c r="AA32" s="170">
        <v>0.19009999999999999</v>
      </c>
      <c r="AB32" s="19">
        <v>12491</v>
      </c>
      <c r="AC32" s="19">
        <v>13990</v>
      </c>
      <c r="AD32" s="19">
        <v>13951</v>
      </c>
      <c r="AE32" s="19">
        <v>1328</v>
      </c>
      <c r="AF32" s="19">
        <v>1518</v>
      </c>
      <c r="AG32" s="19">
        <v>2016</v>
      </c>
      <c r="AH32" s="19">
        <v>1330</v>
      </c>
      <c r="AI32" s="19">
        <v>1520</v>
      </c>
      <c r="AJ32" s="19">
        <v>2017</v>
      </c>
      <c r="AK32" s="172">
        <v>0.1091</v>
      </c>
      <c r="AL32" s="172">
        <v>0.1147</v>
      </c>
      <c r="AM32" s="172">
        <v>0.15179999999999999</v>
      </c>
      <c r="AN32" s="172">
        <v>0.109</v>
      </c>
      <c r="AO32" s="172">
        <v>0.11459999999999999</v>
      </c>
      <c r="AP32" s="172">
        <v>0.1517</v>
      </c>
      <c r="AQ32" s="19">
        <v>12186</v>
      </c>
      <c r="AR32" s="19">
        <v>13250</v>
      </c>
      <c r="AS32" s="19">
        <v>13287</v>
      </c>
      <c r="AT32" s="172">
        <v>0.1</v>
      </c>
      <c r="AU32" s="172">
        <v>7.0000000000000007E-2</v>
      </c>
      <c r="AV32" s="172">
        <v>0.1</v>
      </c>
      <c r="AW32" s="173">
        <v>7.0000000000000007E-2</v>
      </c>
      <c r="AX32" s="171">
        <v>0.1</v>
      </c>
      <c r="AY32" s="171">
        <v>7.0000000000000007E-2</v>
      </c>
      <c r="AZ32" s="173">
        <v>0.1462</v>
      </c>
      <c r="BA32" s="172">
        <v>8.8499999999999995E-2</v>
      </c>
      <c r="BB32" s="20"/>
      <c r="BC32" s="20"/>
      <c r="BD32" s="21"/>
      <c r="BE32" s="20"/>
      <c r="BF32" s="20"/>
    </row>
    <row r="33" spans="1:58" x14ac:dyDescent="0.25">
      <c r="A33" s="13">
        <v>24</v>
      </c>
      <c r="B33" s="13">
        <v>105</v>
      </c>
      <c r="C33" s="2" t="str">
        <f>IF($J$1="ENG","MTB","МТБ")</f>
        <v>МТБ</v>
      </c>
      <c r="D33" s="13" t="str">
        <f t="shared" si="4"/>
        <v>Банки з приватним капіталом</v>
      </c>
      <c r="E33" s="19">
        <v>628</v>
      </c>
      <c r="F33" s="19">
        <v>716</v>
      </c>
      <c r="G33" s="170">
        <v>0.13469999999999999</v>
      </c>
      <c r="H33" s="170">
        <v>0.1182</v>
      </c>
      <c r="I33" s="19">
        <v>5315</v>
      </c>
      <c r="J33" s="12" t="str">
        <f t="shared" si="2"/>
        <v>ні</v>
      </c>
      <c r="K33" s="19">
        <v>628</v>
      </c>
      <c r="L33" s="19">
        <v>717</v>
      </c>
      <c r="M33" s="170">
        <v>0.13489999999999999</v>
      </c>
      <c r="N33" s="170">
        <v>0.1181</v>
      </c>
      <c r="O33" s="19">
        <v>5319</v>
      </c>
      <c r="P33" s="19">
        <v>693</v>
      </c>
      <c r="Q33" s="19">
        <v>748</v>
      </c>
      <c r="R33" s="19">
        <v>689</v>
      </c>
      <c r="S33" s="19">
        <v>748</v>
      </c>
      <c r="T33" s="19">
        <v>791</v>
      </c>
      <c r="U33" s="19">
        <v>719</v>
      </c>
      <c r="V33" s="170">
        <v>0.1278</v>
      </c>
      <c r="W33" s="170">
        <v>0.12280000000000001</v>
      </c>
      <c r="X33" s="170">
        <v>0.1132</v>
      </c>
      <c r="Y33" s="170">
        <v>0.11849999999999999</v>
      </c>
      <c r="Z33" s="170">
        <v>0.1162</v>
      </c>
      <c r="AA33" s="170">
        <v>0.1084</v>
      </c>
      <c r="AB33" s="19">
        <v>5849</v>
      </c>
      <c r="AC33" s="19">
        <v>6438</v>
      </c>
      <c r="AD33" s="19">
        <v>6353</v>
      </c>
      <c r="AE33" s="19">
        <v>301</v>
      </c>
      <c r="AF33" s="19">
        <v>149</v>
      </c>
      <c r="AG33" s="19">
        <v>-22</v>
      </c>
      <c r="AH33" s="19">
        <v>362</v>
      </c>
      <c r="AI33" s="19">
        <v>197</v>
      </c>
      <c r="AJ33" s="19">
        <v>-22</v>
      </c>
      <c r="AK33" s="172">
        <v>5.91E-2</v>
      </c>
      <c r="AL33" s="172">
        <v>2.93E-2</v>
      </c>
      <c r="AM33" s="172">
        <v>-3.2000000000000002E-3</v>
      </c>
      <c r="AN33" s="172">
        <v>4.9200000000000001E-2</v>
      </c>
      <c r="AO33" s="172">
        <v>2.2200000000000001E-2</v>
      </c>
      <c r="AP33" s="172">
        <v>-3.2000000000000002E-3</v>
      </c>
      <c r="AQ33" s="19">
        <v>6121</v>
      </c>
      <c r="AR33" s="19">
        <v>6730</v>
      </c>
      <c r="AS33" s="19">
        <v>6757</v>
      </c>
      <c r="AT33" s="172">
        <v>0.1</v>
      </c>
      <c r="AU33" s="172">
        <v>7.0000000000000007E-2</v>
      </c>
      <c r="AV33" s="172">
        <v>0.17599999999999999</v>
      </c>
      <c r="AW33" s="173">
        <v>0.161</v>
      </c>
      <c r="AX33" s="171">
        <v>0.1003</v>
      </c>
      <c r="AY33" s="171">
        <v>8.5300000000000001E-2</v>
      </c>
      <c r="AZ33" s="173">
        <v>0.14269999999999999</v>
      </c>
      <c r="BA33" s="172">
        <v>0.1067</v>
      </c>
      <c r="BB33" s="20"/>
      <c r="BC33" s="20"/>
      <c r="BD33" s="21"/>
      <c r="BE33" s="20"/>
      <c r="BF33" s="20"/>
    </row>
    <row r="34" spans="1:58" x14ac:dyDescent="0.25">
      <c r="A34" s="13">
        <v>25</v>
      </c>
      <c r="B34" s="13">
        <v>101</v>
      </c>
      <c r="C34" s="2" t="str">
        <f>IF($J$1="ENG","Industrialbank","Індустріалбанк")</f>
        <v>Індустріалбанк</v>
      </c>
      <c r="D34" s="13" t="str">
        <f t="shared" si="4"/>
        <v>Банки з приватним капіталом</v>
      </c>
      <c r="E34" s="19">
        <v>1014</v>
      </c>
      <c r="F34" s="19">
        <v>1014</v>
      </c>
      <c r="G34" s="170">
        <v>0.42199999999999999</v>
      </c>
      <c r="H34" s="170">
        <v>0.42199999999999999</v>
      </c>
      <c r="I34" s="19">
        <v>2403</v>
      </c>
      <c r="J34" s="12" t="str">
        <f t="shared" si="2"/>
        <v>ні</v>
      </c>
      <c r="K34" s="19">
        <v>1011</v>
      </c>
      <c r="L34" s="19">
        <v>1011</v>
      </c>
      <c r="M34" s="170">
        <v>0.42130000000000001</v>
      </c>
      <c r="N34" s="170">
        <v>0.42130000000000001</v>
      </c>
      <c r="O34" s="19">
        <v>2401</v>
      </c>
      <c r="P34" s="19">
        <v>950</v>
      </c>
      <c r="Q34" s="19">
        <v>851</v>
      </c>
      <c r="R34" s="19">
        <v>711</v>
      </c>
      <c r="S34" s="19">
        <v>950</v>
      </c>
      <c r="T34" s="19">
        <v>851</v>
      </c>
      <c r="U34" s="19">
        <v>711</v>
      </c>
      <c r="V34" s="170">
        <v>0.33589999999999998</v>
      </c>
      <c r="W34" s="170">
        <v>0.25640000000000002</v>
      </c>
      <c r="X34" s="170">
        <v>0.2145</v>
      </c>
      <c r="Y34" s="170">
        <v>0.33589999999999998</v>
      </c>
      <c r="Z34" s="170">
        <v>0.25640000000000002</v>
      </c>
      <c r="AA34" s="170">
        <v>0.2145</v>
      </c>
      <c r="AB34" s="19">
        <v>2829</v>
      </c>
      <c r="AC34" s="19">
        <v>3319</v>
      </c>
      <c r="AD34" s="19">
        <v>3315</v>
      </c>
      <c r="AE34" s="19">
        <v>771</v>
      </c>
      <c r="AF34" s="19">
        <v>608</v>
      </c>
      <c r="AG34" s="19">
        <v>442</v>
      </c>
      <c r="AH34" s="19">
        <v>771</v>
      </c>
      <c r="AI34" s="19">
        <v>608</v>
      </c>
      <c r="AJ34" s="19">
        <v>442</v>
      </c>
      <c r="AK34" s="172">
        <v>0.26079999999999998</v>
      </c>
      <c r="AL34" s="172">
        <v>0.17449999999999999</v>
      </c>
      <c r="AM34" s="172">
        <v>0.124</v>
      </c>
      <c r="AN34" s="172">
        <v>0.26079999999999998</v>
      </c>
      <c r="AO34" s="172">
        <v>0.17449999999999999</v>
      </c>
      <c r="AP34" s="172">
        <v>0.124</v>
      </c>
      <c r="AQ34" s="19">
        <v>2956</v>
      </c>
      <c r="AR34" s="19">
        <v>3483</v>
      </c>
      <c r="AS34" s="19">
        <v>3569</v>
      </c>
      <c r="AT34" s="172">
        <v>0.19500000000000001</v>
      </c>
      <c r="AU34" s="172">
        <v>0.19500000000000001</v>
      </c>
      <c r="AV34" s="172">
        <v>0.27200000000000002</v>
      </c>
      <c r="AW34" s="172">
        <v>0.27200000000000002</v>
      </c>
      <c r="AX34" s="170">
        <v>0.27200000000000002</v>
      </c>
      <c r="AY34" s="170">
        <v>0.27200000000000002</v>
      </c>
      <c r="AZ34" s="172">
        <v>0.40739999999999998</v>
      </c>
      <c r="BA34" s="172">
        <v>0.39600000000000002</v>
      </c>
      <c r="BB34" s="20"/>
      <c r="BC34" s="20"/>
      <c r="BD34" s="21"/>
      <c r="BE34" s="20"/>
      <c r="BF34" s="20"/>
    </row>
    <row r="35" spans="1:58" x14ac:dyDescent="0.25">
      <c r="A35" s="13">
        <v>26</v>
      </c>
      <c r="B35" s="13">
        <v>320</v>
      </c>
      <c r="C35" s="2" t="str">
        <f>IF($J$1="ENG","Bank for Investments and Savings","Банк Інвестицій та заощаджень")</f>
        <v>Банк Інвестицій та заощаджень</v>
      </c>
      <c r="D35" s="13" t="str">
        <f t="shared" si="4"/>
        <v>Банки з приватним капіталом</v>
      </c>
      <c r="E35" s="19">
        <v>509</v>
      </c>
      <c r="F35" s="19">
        <v>558</v>
      </c>
      <c r="G35" s="170">
        <v>0.1484</v>
      </c>
      <c r="H35" s="170">
        <v>0.1353</v>
      </c>
      <c r="I35" s="19">
        <v>3760</v>
      </c>
      <c r="J35" s="12" t="str">
        <f t="shared" si="2"/>
        <v>ні</v>
      </c>
      <c r="K35" s="19">
        <v>509</v>
      </c>
      <c r="L35" s="19">
        <v>536</v>
      </c>
      <c r="M35" s="170">
        <v>0.1434</v>
      </c>
      <c r="N35" s="170">
        <v>0.1361</v>
      </c>
      <c r="O35" s="19">
        <v>3738</v>
      </c>
      <c r="P35" s="19">
        <v>330</v>
      </c>
      <c r="Q35" s="19">
        <v>196</v>
      </c>
      <c r="R35" s="19">
        <v>26</v>
      </c>
      <c r="S35" s="19">
        <v>330</v>
      </c>
      <c r="T35" s="19">
        <v>196</v>
      </c>
      <c r="U35" s="19">
        <v>26</v>
      </c>
      <c r="V35" s="170">
        <v>8.0199999999999994E-2</v>
      </c>
      <c r="W35" s="170">
        <v>4.3499999999999997E-2</v>
      </c>
      <c r="X35" s="170">
        <v>5.7000000000000002E-3</v>
      </c>
      <c r="Y35" s="170">
        <v>8.0199999999999994E-2</v>
      </c>
      <c r="Z35" s="170">
        <v>4.3499999999999997E-2</v>
      </c>
      <c r="AA35" s="170">
        <v>5.7000000000000002E-3</v>
      </c>
      <c r="AB35" s="19">
        <v>4109</v>
      </c>
      <c r="AC35" s="19">
        <v>4500</v>
      </c>
      <c r="AD35" s="19">
        <v>4484</v>
      </c>
      <c r="AE35" s="19">
        <v>16</v>
      </c>
      <c r="AF35" s="19">
        <v>-280</v>
      </c>
      <c r="AG35" s="19">
        <v>-522</v>
      </c>
      <c r="AH35" s="19">
        <v>16</v>
      </c>
      <c r="AI35" s="19">
        <v>-280</v>
      </c>
      <c r="AJ35" s="19">
        <v>-522</v>
      </c>
      <c r="AK35" s="172">
        <v>3.8E-3</v>
      </c>
      <c r="AL35" s="172">
        <v>-6.25E-2</v>
      </c>
      <c r="AM35" s="172">
        <v>-0.11559999999999999</v>
      </c>
      <c r="AN35" s="172">
        <v>3.8E-3</v>
      </c>
      <c r="AO35" s="172">
        <v>-6.25E-2</v>
      </c>
      <c r="AP35" s="172">
        <v>-0.11559999999999999</v>
      </c>
      <c r="AQ35" s="19">
        <v>4122</v>
      </c>
      <c r="AR35" s="19">
        <v>4475</v>
      </c>
      <c r="AS35" s="19">
        <v>4516</v>
      </c>
      <c r="AT35" s="172">
        <v>0.23699999999999999</v>
      </c>
      <c r="AU35" s="172">
        <v>0.20699999999999999</v>
      </c>
      <c r="AV35" s="172">
        <v>0.33300000000000002</v>
      </c>
      <c r="AW35" s="172">
        <v>0.318</v>
      </c>
      <c r="AX35" s="170">
        <v>0.26</v>
      </c>
      <c r="AY35" s="170">
        <v>0.245</v>
      </c>
      <c r="AZ35" s="172">
        <v>0.28100000000000003</v>
      </c>
      <c r="BA35" s="172">
        <v>0.2606</v>
      </c>
      <c r="BB35" s="20"/>
      <c r="BC35" s="20"/>
      <c r="BD35" s="21"/>
      <c r="BE35" s="20"/>
      <c r="BF35" s="20"/>
    </row>
    <row r="36" spans="1:58" x14ac:dyDescent="0.25">
      <c r="A36" s="13">
        <v>27</v>
      </c>
      <c r="B36" s="25">
        <v>29</v>
      </c>
      <c r="C36" s="2" t="str">
        <f>IF($J$1="ENG","Alians","Альянс")</f>
        <v>Альянс</v>
      </c>
      <c r="D36" s="13" t="str">
        <f>IF($J$1="ENG","Private banks","Банки з приватним капіталом")</f>
        <v>Банки з приватним капіталом</v>
      </c>
      <c r="E36" s="19">
        <v>484</v>
      </c>
      <c r="F36" s="19">
        <v>575</v>
      </c>
      <c r="G36" s="170">
        <v>0.11070000000000001</v>
      </c>
      <c r="H36" s="170">
        <v>9.3200000000000005E-2</v>
      </c>
      <c r="I36" s="19">
        <v>5191</v>
      </c>
      <c r="J36" s="12" t="str">
        <f t="shared" si="2"/>
        <v>ні</v>
      </c>
      <c r="K36" s="19">
        <v>484</v>
      </c>
      <c r="L36" s="19">
        <v>542</v>
      </c>
      <c r="M36" s="170">
        <v>0.105</v>
      </c>
      <c r="N36" s="170">
        <v>9.3799999999999994E-2</v>
      </c>
      <c r="O36" s="19">
        <v>5158</v>
      </c>
      <c r="P36" s="19">
        <v>116</v>
      </c>
      <c r="Q36" s="19">
        <v>282</v>
      </c>
      <c r="R36" s="19">
        <v>397</v>
      </c>
      <c r="S36" s="19">
        <v>172</v>
      </c>
      <c r="T36" s="19">
        <v>338</v>
      </c>
      <c r="U36" s="19">
        <v>454</v>
      </c>
      <c r="V36" s="170">
        <v>3.4500000000000003E-2</v>
      </c>
      <c r="W36" s="170">
        <v>6.2700000000000006E-2</v>
      </c>
      <c r="X36" s="170">
        <v>8.4199999999999997E-2</v>
      </c>
      <c r="Y36" s="170">
        <v>2.3199999999999998E-2</v>
      </c>
      <c r="Z36" s="170">
        <v>5.2200000000000003E-2</v>
      </c>
      <c r="AA36" s="170">
        <v>7.3700000000000002E-2</v>
      </c>
      <c r="AB36" s="19">
        <v>4988</v>
      </c>
      <c r="AC36" s="19">
        <v>5398</v>
      </c>
      <c r="AD36" s="19">
        <v>5389</v>
      </c>
      <c r="AE36" s="19">
        <v>-786</v>
      </c>
      <c r="AF36" s="19">
        <v>-858</v>
      </c>
      <c r="AG36" s="19">
        <v>-956</v>
      </c>
      <c r="AH36" s="19">
        <v>-786</v>
      </c>
      <c r="AI36" s="19">
        <v>-858</v>
      </c>
      <c r="AJ36" s="19">
        <v>-956</v>
      </c>
      <c r="AK36" s="172">
        <v>-0.1573</v>
      </c>
      <c r="AL36" s="172">
        <v>-0.15820000000000001</v>
      </c>
      <c r="AM36" s="172">
        <v>-0.1744</v>
      </c>
      <c r="AN36" s="172">
        <v>-0.1573</v>
      </c>
      <c r="AO36" s="172">
        <v>-0.15820000000000001</v>
      </c>
      <c r="AP36" s="172">
        <v>-0.1744</v>
      </c>
      <c r="AQ36" s="19">
        <v>4997</v>
      </c>
      <c r="AR36" s="19">
        <v>5422</v>
      </c>
      <c r="AS36" s="19">
        <v>5483</v>
      </c>
      <c r="AT36" s="172">
        <v>0.17199999999999999</v>
      </c>
      <c r="AU36" s="172">
        <v>0.14199999999999999</v>
      </c>
      <c r="AV36" s="172">
        <v>0.32900000000000001</v>
      </c>
      <c r="AW36" s="172">
        <v>0.314</v>
      </c>
      <c r="AX36" s="170">
        <v>0.13669999999999999</v>
      </c>
      <c r="AY36" s="170">
        <v>0.1217</v>
      </c>
      <c r="AZ36" s="172">
        <v>0.16159999999999999</v>
      </c>
      <c r="BA36" s="172">
        <v>9.0700000000000003E-2</v>
      </c>
      <c r="BB36" s="20"/>
      <c r="BC36" s="20"/>
      <c r="BD36" s="21"/>
      <c r="BE36" s="20"/>
      <c r="BF36" s="20"/>
    </row>
    <row r="37" spans="1:58" x14ac:dyDescent="0.25">
      <c r="A37" s="13">
        <v>28</v>
      </c>
      <c r="B37" s="13">
        <v>91</v>
      </c>
      <c r="C37" s="2" t="str">
        <f>IF($J$1="ENG","Lviv","Львів")</f>
        <v>Львів</v>
      </c>
      <c r="D37" s="13" t="str">
        <f t="shared" si="4"/>
        <v>Банки з приватним капіталом</v>
      </c>
      <c r="E37" s="19">
        <v>272</v>
      </c>
      <c r="F37" s="19">
        <v>473</v>
      </c>
      <c r="G37" s="170">
        <v>0.1404</v>
      </c>
      <c r="H37" s="170">
        <v>8.0799999999999997E-2</v>
      </c>
      <c r="I37" s="19">
        <v>3371</v>
      </c>
      <c r="J37" s="12" t="str">
        <f t="shared" si="2"/>
        <v>ні</v>
      </c>
      <c r="K37" s="19">
        <v>272</v>
      </c>
      <c r="L37" s="19">
        <v>472</v>
      </c>
      <c r="M37" s="170">
        <v>0.14019999999999999</v>
      </c>
      <c r="N37" s="170">
        <v>8.09E-2</v>
      </c>
      <c r="O37" s="19">
        <v>3367</v>
      </c>
      <c r="P37" s="19">
        <v>290</v>
      </c>
      <c r="Q37" s="19">
        <v>317</v>
      </c>
      <c r="R37" s="19">
        <v>297</v>
      </c>
      <c r="S37" s="19">
        <v>426</v>
      </c>
      <c r="T37" s="19">
        <v>427</v>
      </c>
      <c r="U37" s="19">
        <v>379</v>
      </c>
      <c r="V37" s="170">
        <v>0.1186</v>
      </c>
      <c r="W37" s="170">
        <v>0.1128</v>
      </c>
      <c r="X37" s="170">
        <v>0.1008</v>
      </c>
      <c r="Y37" s="170">
        <v>8.0699999999999994E-2</v>
      </c>
      <c r="Z37" s="170">
        <v>8.3799999999999999E-2</v>
      </c>
      <c r="AA37" s="170">
        <v>7.9100000000000004E-2</v>
      </c>
      <c r="AB37" s="19">
        <v>3590</v>
      </c>
      <c r="AC37" s="19">
        <v>3788</v>
      </c>
      <c r="AD37" s="19">
        <v>3761</v>
      </c>
      <c r="AE37" s="19">
        <v>-262</v>
      </c>
      <c r="AF37" s="19">
        <v>-392</v>
      </c>
      <c r="AG37" s="19">
        <v>-463</v>
      </c>
      <c r="AH37" s="19">
        <v>-262</v>
      </c>
      <c r="AI37" s="19">
        <v>-392</v>
      </c>
      <c r="AJ37" s="19">
        <v>-463</v>
      </c>
      <c r="AK37" s="172">
        <v>-0.08</v>
      </c>
      <c r="AL37" s="172">
        <v>-0.115</v>
      </c>
      <c r="AM37" s="172">
        <v>-0.13469999999999999</v>
      </c>
      <c r="AN37" s="172">
        <v>-0.08</v>
      </c>
      <c r="AO37" s="172">
        <v>-0.115</v>
      </c>
      <c r="AP37" s="172">
        <v>-0.13469999999999999</v>
      </c>
      <c r="AQ37" s="19">
        <v>3275</v>
      </c>
      <c r="AR37" s="19">
        <v>3404</v>
      </c>
      <c r="AS37" s="19">
        <v>3437</v>
      </c>
      <c r="AT37" s="172">
        <v>0.1</v>
      </c>
      <c r="AU37" s="172">
        <v>7.0000000000000007E-2</v>
      </c>
      <c r="AV37" s="172">
        <v>0.26900000000000002</v>
      </c>
      <c r="AW37" s="172">
        <v>0.254</v>
      </c>
      <c r="AX37" s="170">
        <v>0.11550000000000001</v>
      </c>
      <c r="AY37" s="170">
        <v>0.10050000000000001</v>
      </c>
      <c r="AZ37" s="172">
        <v>0.13619999999999999</v>
      </c>
      <c r="BA37" s="172">
        <v>9.1700000000000004E-2</v>
      </c>
      <c r="BB37" s="20"/>
      <c r="BC37" s="20"/>
      <c r="BD37" s="21"/>
      <c r="BE37" s="20"/>
      <c r="BF37" s="20"/>
    </row>
    <row r="38" spans="1:58" x14ac:dyDescent="0.25">
      <c r="A38" s="13">
        <v>29</v>
      </c>
      <c r="B38" s="13">
        <v>386</v>
      </c>
      <c r="C38" s="2" t="str">
        <f>IF($J$1="ENG","Globus","Глобус")</f>
        <v>Глобус</v>
      </c>
      <c r="D38" s="13" t="str">
        <f t="shared" si="4"/>
        <v>Банки з приватним капіталом</v>
      </c>
      <c r="E38" s="19">
        <v>403</v>
      </c>
      <c r="F38" s="19">
        <v>480</v>
      </c>
      <c r="G38" s="170">
        <v>0.155</v>
      </c>
      <c r="H38" s="170">
        <v>0.12970000000000001</v>
      </c>
      <c r="I38" s="19">
        <v>3109</v>
      </c>
      <c r="J38" s="12" t="str">
        <f t="shared" si="2"/>
        <v>ні</v>
      </c>
      <c r="K38" s="19">
        <v>403</v>
      </c>
      <c r="L38" s="19">
        <v>481</v>
      </c>
      <c r="M38" s="170">
        <v>0.15529999999999999</v>
      </c>
      <c r="N38" s="170">
        <v>0.1303</v>
      </c>
      <c r="O38" s="19">
        <v>3094</v>
      </c>
      <c r="P38" s="19">
        <v>517</v>
      </c>
      <c r="Q38" s="19">
        <v>635</v>
      </c>
      <c r="R38" s="19">
        <v>708</v>
      </c>
      <c r="S38" s="19">
        <v>565</v>
      </c>
      <c r="T38" s="19">
        <v>684</v>
      </c>
      <c r="U38" s="19">
        <v>757</v>
      </c>
      <c r="V38" s="170">
        <v>0.15740000000000001</v>
      </c>
      <c r="W38" s="170">
        <v>0.17130000000000001</v>
      </c>
      <c r="X38" s="170">
        <v>0.19009999999999999</v>
      </c>
      <c r="Y38" s="170">
        <v>0.14399999999999999</v>
      </c>
      <c r="Z38" s="170">
        <v>0.159</v>
      </c>
      <c r="AA38" s="170">
        <v>0.17780000000000001</v>
      </c>
      <c r="AB38" s="19">
        <v>3588</v>
      </c>
      <c r="AC38" s="19">
        <v>3991</v>
      </c>
      <c r="AD38" s="19">
        <v>3981</v>
      </c>
      <c r="AE38" s="19">
        <v>109</v>
      </c>
      <c r="AF38" s="19">
        <v>17</v>
      </c>
      <c r="AG38" s="19">
        <v>-21</v>
      </c>
      <c r="AH38" s="19">
        <v>165</v>
      </c>
      <c r="AI38" s="19">
        <v>35</v>
      </c>
      <c r="AJ38" s="19">
        <v>-21</v>
      </c>
      <c r="AK38" s="172">
        <v>4.6899999999999997E-2</v>
      </c>
      <c r="AL38" s="172">
        <v>8.9999999999999993E-3</v>
      </c>
      <c r="AM38" s="172">
        <v>-5.4999999999999997E-3</v>
      </c>
      <c r="AN38" s="172">
        <v>3.09E-2</v>
      </c>
      <c r="AO38" s="172">
        <v>4.4999999999999997E-3</v>
      </c>
      <c r="AP38" s="172">
        <v>-5.4999999999999997E-3</v>
      </c>
      <c r="AQ38" s="19">
        <v>3524</v>
      </c>
      <c r="AR38" s="19">
        <v>3869</v>
      </c>
      <c r="AS38" s="19">
        <v>3909</v>
      </c>
      <c r="AT38" s="172">
        <v>0.1</v>
      </c>
      <c r="AU38" s="172">
        <v>7.0000000000000007E-2</v>
      </c>
      <c r="AV38" s="172">
        <v>0.19700000000000001</v>
      </c>
      <c r="AW38" s="172">
        <v>0.182</v>
      </c>
      <c r="AX38" s="170">
        <v>0.13420000000000001</v>
      </c>
      <c r="AY38" s="170">
        <v>0.1192</v>
      </c>
      <c r="AZ38" s="172">
        <v>0.14480000000000001</v>
      </c>
      <c r="BA38" s="172">
        <v>0.123</v>
      </c>
      <c r="BB38" s="20"/>
      <c r="BC38" s="20"/>
      <c r="BD38" s="21"/>
      <c r="BE38" s="20"/>
      <c r="BF38" s="20"/>
    </row>
    <row r="39" spans="1:58" x14ac:dyDescent="0.25">
      <c r="A39" s="13">
        <v>30</v>
      </c>
      <c r="B39" s="13">
        <v>392</v>
      </c>
      <c r="C39" s="2" t="str">
        <f>IF($J$1="ENG","Acordbank","Акордбанк")</f>
        <v>Акордбанк</v>
      </c>
      <c r="D39" s="13" t="str">
        <f>IF($J$1="ENG","Private banks","Банки з приватним капіталом")</f>
        <v>Банки з приватним капіталом</v>
      </c>
      <c r="E39" s="19">
        <v>272</v>
      </c>
      <c r="F39" s="19">
        <v>298</v>
      </c>
      <c r="G39" s="170">
        <v>0.12820000000000001</v>
      </c>
      <c r="H39" s="170">
        <v>0.1172</v>
      </c>
      <c r="I39" s="19">
        <v>2323</v>
      </c>
      <c r="J39" s="12" t="str">
        <f t="shared" si="2"/>
        <v>ні</v>
      </c>
      <c r="K39" s="19">
        <v>272</v>
      </c>
      <c r="L39" s="19">
        <v>297</v>
      </c>
      <c r="M39" s="170">
        <v>0.128</v>
      </c>
      <c r="N39" s="170">
        <v>0.1172</v>
      </c>
      <c r="O39" s="19">
        <v>2323</v>
      </c>
      <c r="P39" s="19">
        <v>299</v>
      </c>
      <c r="Q39" s="19">
        <v>367</v>
      </c>
      <c r="R39" s="19">
        <v>398</v>
      </c>
      <c r="S39" s="19">
        <v>299</v>
      </c>
      <c r="T39" s="19">
        <v>367</v>
      </c>
      <c r="U39" s="19">
        <v>398</v>
      </c>
      <c r="V39" s="170">
        <v>0.10929999999999999</v>
      </c>
      <c r="W39" s="170">
        <v>0.11799999999999999</v>
      </c>
      <c r="X39" s="170">
        <v>0.128</v>
      </c>
      <c r="Y39" s="170">
        <v>0.10929999999999999</v>
      </c>
      <c r="Z39" s="170">
        <v>0.11799999999999999</v>
      </c>
      <c r="AA39" s="170">
        <v>0.128</v>
      </c>
      <c r="AB39" s="19">
        <v>2737</v>
      </c>
      <c r="AC39" s="19">
        <v>3107</v>
      </c>
      <c r="AD39" s="19">
        <v>3107</v>
      </c>
      <c r="AE39" s="19">
        <v>111</v>
      </c>
      <c r="AF39" s="19">
        <v>14</v>
      </c>
      <c r="AG39" s="19">
        <v>-48</v>
      </c>
      <c r="AH39" s="19">
        <v>111</v>
      </c>
      <c r="AI39" s="19">
        <v>14</v>
      </c>
      <c r="AJ39" s="19">
        <v>-48</v>
      </c>
      <c r="AK39" s="172">
        <v>3.9800000000000002E-2</v>
      </c>
      <c r="AL39" s="172">
        <v>4.4000000000000003E-3</v>
      </c>
      <c r="AM39" s="172">
        <v>-1.5100000000000001E-2</v>
      </c>
      <c r="AN39" s="172">
        <v>3.9800000000000002E-2</v>
      </c>
      <c r="AO39" s="172">
        <v>4.4000000000000003E-3</v>
      </c>
      <c r="AP39" s="172">
        <v>-1.5100000000000001E-2</v>
      </c>
      <c r="AQ39" s="19">
        <v>2786</v>
      </c>
      <c r="AR39" s="19">
        <v>3169</v>
      </c>
      <c r="AS39" s="19">
        <v>3188</v>
      </c>
      <c r="AT39" s="172">
        <v>0.1</v>
      </c>
      <c r="AU39" s="172">
        <v>7.0000000000000007E-2</v>
      </c>
      <c r="AV39" s="172">
        <v>0.19900000000000001</v>
      </c>
      <c r="AW39" s="172">
        <v>0.184</v>
      </c>
      <c r="AX39" s="170">
        <v>0.1095</v>
      </c>
      <c r="AY39" s="170">
        <v>9.4500000000000001E-2</v>
      </c>
      <c r="AZ39" s="172">
        <v>0.14580000000000001</v>
      </c>
      <c r="BA39" s="172">
        <v>0.1</v>
      </c>
      <c r="BB39" s="20"/>
      <c r="BC39" s="20"/>
      <c r="BD39" s="21"/>
      <c r="BE39" s="20"/>
      <c r="BF39" s="20"/>
    </row>
    <row r="40" spans="1:58" x14ac:dyDescent="0.25">
      <c r="E40" s="26"/>
      <c r="F40" s="14"/>
      <c r="G40" s="14"/>
    </row>
    <row r="41" spans="1:58" x14ac:dyDescent="0.25">
      <c r="A41" s="9" t="str">
        <f>IF($J$1="ENG","Note:","Примітки:")</f>
        <v>Примітки:</v>
      </c>
      <c r="D41" s="14"/>
      <c r="E41" s="26"/>
      <c r="F41" s="14"/>
      <c r="G41" s="14"/>
      <c r="H41" s="14"/>
      <c r="M41" s="14"/>
      <c r="N41" s="14"/>
      <c r="V41" s="14"/>
      <c r="W41" s="14"/>
      <c r="X41" s="14"/>
      <c r="Y41" s="14"/>
      <c r="Z41" s="14"/>
      <c r="AA41" s="14"/>
      <c r="AK41" s="14"/>
      <c r="AL41" s="14"/>
      <c r="AM41" s="14"/>
      <c r="AN41" s="14"/>
      <c r="AO41" s="14"/>
      <c r="AP41" s="14"/>
      <c r="AT41" s="14"/>
      <c r="AU41" s="14"/>
      <c r="AV41" s="14"/>
      <c r="AW41" s="14"/>
      <c r="AX41" s="14"/>
      <c r="AY41" s="14"/>
    </row>
    <row r="42" spans="1:58" x14ac:dyDescent="0.25">
      <c r="A42" s="144" t="str">
        <f>IF($J$1="ENG","Foreign banks do not include banks with state Russian capital.","Банки іноземних банківських груп не виключають банки із державним російським капіталом.")</f>
        <v>Банки іноземних банківських груп не виключають банки із державним російським капіталом.</v>
      </c>
      <c r="D42" s="14"/>
      <c r="E42" s="26"/>
      <c r="F42" s="14"/>
      <c r="G42" s="14"/>
      <c r="H42" s="14"/>
      <c r="M42" s="14"/>
      <c r="N42" s="14"/>
      <c r="V42" s="14"/>
      <c r="W42" s="14"/>
      <c r="X42" s="14"/>
      <c r="Y42" s="14"/>
      <c r="Z42" s="14"/>
      <c r="AA42" s="14"/>
      <c r="AK42" s="14"/>
      <c r="AL42" s="14"/>
      <c r="AM42" s="14"/>
      <c r="AN42" s="14"/>
      <c r="AO42" s="14"/>
      <c r="AP42" s="14"/>
      <c r="AT42" s="14"/>
      <c r="AU42" s="14"/>
      <c r="AV42" s="14"/>
      <c r="AW42" s="14"/>
      <c r="AX42" s="14"/>
      <c r="AY42" s="14"/>
    </row>
    <row r="43" spans="1:58" x14ac:dyDescent="0.25">
      <c r="A43" s="9" t="str">
        <f>IF($J$1="ENG","","ОК - основний капітал, РК - регулятивний капітал.")</f>
        <v>ОК - основний капітал, РК - регулятивний капітал.</v>
      </c>
      <c r="D43" s="14"/>
      <c r="E43" s="26"/>
      <c r="F43" s="14"/>
      <c r="G43" s="14"/>
      <c r="H43" s="14"/>
      <c r="M43" s="14"/>
      <c r="N43" s="14"/>
      <c r="V43" s="14"/>
      <c r="W43" s="14"/>
      <c r="X43" s="14"/>
      <c r="Y43" s="14"/>
      <c r="Z43" s="14"/>
      <c r="AA43" s="14"/>
      <c r="AK43" s="14"/>
      <c r="AL43" s="14"/>
      <c r="AM43" s="14"/>
      <c r="AN43" s="14"/>
      <c r="AO43" s="14"/>
      <c r="AP43" s="14"/>
      <c r="AT43" s="14"/>
      <c r="AU43" s="14"/>
      <c r="AV43" s="14"/>
      <c r="AW43" s="14"/>
      <c r="AX43" s="14"/>
      <c r="AY43" s="14"/>
    </row>
    <row r="44" spans="1:58" x14ac:dyDescent="0.25">
      <c r="A44" s="9" t="str">
        <f>IF($J$1="ENG","*According to the restructuring/capitalization plans by 30 Jun 2022, approved by the NBU, without taking into account the impact of market and credit risk of government securities","*Відповідно до погоджених НБУ програм реструктуризації/капіталізації до 30.06.2022, в тому числі без урахування впливу ринкового та кредитного ризику за державними цінними паперами")</f>
        <v>*Відповідно до погоджених НБУ програм реструктуризації/капіталізації до 30.06.2022, в тому числі без урахування впливу ринкового та кредитного ризику за державними цінними паперами</v>
      </c>
      <c r="D44" s="14"/>
      <c r="E44" s="26"/>
      <c r="F44" s="14"/>
      <c r="G44" s="14"/>
      <c r="H44" s="14"/>
      <c r="M44" s="14"/>
      <c r="N44" s="14"/>
      <c r="V44" s="14"/>
      <c r="W44" s="14"/>
      <c r="X44" s="14"/>
      <c r="Y44" s="14"/>
      <c r="Z44" s="14"/>
      <c r="AA44" s="14"/>
      <c r="AK44" s="14"/>
      <c r="AL44" s="14"/>
      <c r="AM44" s="14"/>
      <c r="AN44" s="14"/>
      <c r="AO44" s="14"/>
      <c r="AP44" s="14"/>
      <c r="AT44" s="14"/>
      <c r="AU44" s="14"/>
      <c r="AV44" s="14"/>
      <c r="AW44" s="14"/>
      <c r="AX44" s="14"/>
      <c r="AY44" s="14"/>
    </row>
    <row r="45" spans="1:58" x14ac:dyDescent="0.25">
      <c r="A45" s="23" t="str">
        <f>IF($J$1="ENG",$A$46,$A$47)</f>
        <v>Оновлено необхідні  рівні нормативів достатності (адекватності) регулятивного капіталу (Н2) та достатності основного капіталу (H3) для АТ “ПРАВЕКС БАНК” відповідно до погодженої НБУ програми реструктуризації/капіталізації. З урахуванням вжитих і запланованих заходів необхідний рівень знизився з 29.1% до 25.8% за Н2, з 29.1% до 25.8% за Н3.</v>
      </c>
      <c r="D45" s="14"/>
      <c r="E45" s="26"/>
      <c r="F45" s="14"/>
      <c r="G45" s="14"/>
      <c r="H45" s="27"/>
      <c r="M45" s="14"/>
      <c r="N45" s="14"/>
      <c r="V45" s="14"/>
      <c r="W45" s="14"/>
      <c r="X45" s="14"/>
      <c r="Y45" s="14"/>
      <c r="Z45" s="14"/>
      <c r="AA45" s="14"/>
      <c r="AK45" s="14"/>
      <c r="AL45" s="14"/>
      <c r="AM45" s="14"/>
      <c r="AN45" s="14"/>
      <c r="AO45" s="14"/>
      <c r="AP45" s="14"/>
      <c r="AT45" s="14"/>
      <c r="AU45" s="14"/>
      <c r="AV45" s="14"/>
      <c r="AW45" s="14"/>
      <c r="AX45" s="14"/>
      <c r="AY45" s="14"/>
    </row>
    <row r="46" spans="1:58" x14ac:dyDescent="0.25">
      <c r="A46" s="28" t="s">
        <v>63</v>
      </c>
      <c r="D46" s="14"/>
      <c r="E46" s="26"/>
      <c r="F46" s="14"/>
      <c r="G46" s="14"/>
      <c r="H46" s="14"/>
      <c r="M46" s="14"/>
      <c r="N46" s="14"/>
      <c r="V46" s="14"/>
      <c r="W46" s="14"/>
      <c r="X46" s="14"/>
      <c r="Y46" s="14"/>
      <c r="Z46" s="14"/>
      <c r="AA46" s="14"/>
      <c r="AK46" s="14"/>
      <c r="AL46" s="14"/>
      <c r="AM46" s="14"/>
      <c r="AN46" s="14"/>
      <c r="AO46" s="14"/>
      <c r="AP46" s="14"/>
      <c r="AT46" s="14"/>
      <c r="AU46" s="14"/>
      <c r="AV46" s="14"/>
      <c r="AW46" s="14"/>
      <c r="AX46" s="14"/>
      <c r="AY46" s="14"/>
    </row>
    <row r="47" spans="1:58" x14ac:dyDescent="0.25">
      <c r="A47" s="28" t="s">
        <v>64</v>
      </c>
      <c r="D47" s="14"/>
      <c r="E47" s="26"/>
      <c r="F47" s="14"/>
      <c r="G47" s="14"/>
      <c r="H47" s="14"/>
      <c r="M47" s="14"/>
      <c r="N47" s="14"/>
      <c r="V47" s="14"/>
      <c r="W47" s="14"/>
      <c r="X47" s="14"/>
      <c r="Y47" s="14"/>
      <c r="Z47" s="14"/>
      <c r="AA47" s="14"/>
      <c r="AK47" s="14"/>
      <c r="AL47" s="14"/>
      <c r="AM47" s="14"/>
      <c r="AN47" s="14"/>
      <c r="AO47" s="14"/>
      <c r="AP47" s="14"/>
      <c r="AT47" s="14"/>
      <c r="AU47" s="14"/>
      <c r="AV47" s="14"/>
      <c r="AW47" s="14"/>
      <c r="AX47" s="14"/>
      <c r="AY47" s="14"/>
    </row>
    <row r="48" spans="1:58" s="144" customFormat="1" x14ac:dyDescent="0.25">
      <c r="E48" s="174"/>
      <c r="F48" s="174"/>
      <c r="G48" s="175"/>
      <c r="H48" s="175"/>
      <c r="I48" s="174"/>
      <c r="K48" s="174"/>
      <c r="L48" s="174"/>
      <c r="M48" s="175"/>
      <c r="N48" s="175"/>
      <c r="O48" s="174"/>
      <c r="P48" s="174"/>
      <c r="Q48" s="174"/>
      <c r="R48" s="174"/>
      <c r="S48" s="174"/>
      <c r="T48" s="174"/>
      <c r="U48" s="174"/>
      <c r="V48" s="175"/>
      <c r="W48" s="175"/>
      <c r="X48" s="175"/>
      <c r="Y48" s="175"/>
      <c r="Z48" s="175"/>
      <c r="AA48" s="175"/>
      <c r="AB48" s="174"/>
      <c r="AC48" s="174"/>
      <c r="AD48" s="174"/>
      <c r="AE48" s="174"/>
      <c r="AF48" s="174"/>
      <c r="AG48" s="174"/>
      <c r="AH48" s="174"/>
      <c r="AI48" s="174"/>
      <c r="AJ48" s="174"/>
      <c r="AK48" s="175"/>
      <c r="AL48" s="175"/>
      <c r="AM48" s="175"/>
      <c r="AN48" s="175"/>
      <c r="AO48" s="175"/>
      <c r="AP48" s="175"/>
      <c r="AQ48" s="174"/>
      <c r="AR48" s="174"/>
      <c r="AS48" s="174"/>
      <c r="AT48" s="175"/>
      <c r="AU48" s="175"/>
      <c r="AV48" s="175"/>
      <c r="AW48" s="175"/>
      <c r="AX48" s="175"/>
      <c r="AY48" s="175"/>
      <c r="AZ48" s="175"/>
      <c r="BA48" s="175"/>
    </row>
    <row r="49" spans="5:53" s="144" customFormat="1" x14ac:dyDescent="0.25">
      <c r="E49" s="174"/>
      <c r="F49" s="174"/>
      <c r="G49" s="175"/>
      <c r="H49" s="175"/>
      <c r="I49" s="174"/>
      <c r="K49" s="174"/>
      <c r="L49" s="174"/>
      <c r="M49" s="175"/>
      <c r="N49" s="175"/>
      <c r="O49" s="174"/>
      <c r="P49" s="174"/>
      <c r="Q49" s="174"/>
      <c r="R49" s="174"/>
      <c r="S49" s="174"/>
      <c r="T49" s="174"/>
      <c r="U49" s="174"/>
      <c r="V49" s="175"/>
      <c r="W49" s="175"/>
      <c r="X49" s="175"/>
      <c r="Y49" s="175"/>
      <c r="Z49" s="175"/>
      <c r="AA49" s="175"/>
      <c r="AB49" s="174"/>
      <c r="AC49" s="174"/>
      <c r="AD49" s="174"/>
      <c r="AE49" s="174"/>
      <c r="AF49" s="174"/>
      <c r="AG49" s="174"/>
      <c r="AH49" s="174"/>
      <c r="AI49" s="174"/>
      <c r="AJ49" s="174"/>
      <c r="AK49" s="175"/>
      <c r="AL49" s="175"/>
      <c r="AM49" s="175"/>
      <c r="AN49" s="175"/>
      <c r="AO49" s="175"/>
      <c r="AP49" s="175"/>
      <c r="AQ49" s="174"/>
      <c r="AR49" s="174"/>
      <c r="AS49" s="174"/>
      <c r="AT49" s="175"/>
      <c r="AU49" s="175"/>
      <c r="AV49" s="175"/>
      <c r="AW49" s="175"/>
      <c r="AX49" s="175"/>
      <c r="AY49" s="175"/>
      <c r="AZ49" s="175"/>
      <c r="BA49" s="175"/>
    </row>
    <row r="50" spans="5:53" s="144" customFormat="1" x14ac:dyDescent="0.25">
      <c r="E50" s="174"/>
      <c r="F50" s="174"/>
      <c r="G50" s="175"/>
      <c r="H50" s="175"/>
      <c r="I50" s="174"/>
      <c r="K50" s="174"/>
      <c r="L50" s="174"/>
      <c r="M50" s="175"/>
      <c r="N50" s="175"/>
      <c r="O50" s="174"/>
      <c r="P50" s="174"/>
      <c r="Q50" s="174"/>
      <c r="R50" s="174"/>
      <c r="S50" s="174"/>
      <c r="T50" s="174"/>
      <c r="U50" s="174"/>
      <c r="V50" s="175"/>
      <c r="W50" s="175"/>
      <c r="X50" s="175"/>
      <c r="Y50" s="175"/>
      <c r="Z50" s="175"/>
      <c r="AA50" s="175"/>
      <c r="AB50" s="174"/>
      <c r="AC50" s="174"/>
      <c r="AD50" s="174"/>
      <c r="AE50" s="174"/>
      <c r="AF50" s="174"/>
      <c r="AG50" s="174"/>
      <c r="AH50" s="174"/>
      <c r="AI50" s="174"/>
      <c r="AJ50" s="174"/>
      <c r="AK50" s="175"/>
      <c r="AL50" s="175"/>
      <c r="AM50" s="175"/>
      <c r="AN50" s="175"/>
      <c r="AO50" s="175"/>
      <c r="AP50" s="175"/>
      <c r="AQ50" s="174"/>
      <c r="AR50" s="174"/>
      <c r="AS50" s="174"/>
      <c r="AT50" s="175"/>
      <c r="AU50" s="175"/>
      <c r="AV50" s="175"/>
      <c r="AW50" s="175"/>
      <c r="AX50" s="175"/>
      <c r="AY50" s="175"/>
      <c r="AZ50" s="175"/>
      <c r="BA50" s="175"/>
    </row>
    <row r="51" spans="5:53" s="144" customFormat="1" x14ac:dyDescent="0.25">
      <c r="E51" s="174"/>
      <c r="F51" s="174"/>
      <c r="G51" s="175"/>
      <c r="H51" s="175"/>
      <c r="I51" s="174"/>
      <c r="K51" s="174"/>
      <c r="L51" s="174"/>
      <c r="M51" s="175"/>
      <c r="N51" s="175"/>
      <c r="O51" s="174"/>
      <c r="P51" s="174"/>
      <c r="Q51" s="174"/>
      <c r="R51" s="174"/>
      <c r="S51" s="174"/>
      <c r="T51" s="174"/>
      <c r="U51" s="174"/>
      <c r="V51" s="175"/>
      <c r="W51" s="175"/>
      <c r="X51" s="175"/>
      <c r="Y51" s="175"/>
      <c r="Z51" s="175"/>
      <c r="AA51" s="175"/>
      <c r="AB51" s="174"/>
      <c r="AC51" s="174"/>
      <c r="AD51" s="174"/>
      <c r="AE51" s="174"/>
      <c r="AF51" s="174"/>
      <c r="AG51" s="174"/>
      <c r="AH51" s="174"/>
      <c r="AI51" s="174"/>
      <c r="AJ51" s="174"/>
      <c r="AK51" s="175"/>
      <c r="AL51" s="175"/>
      <c r="AM51" s="175"/>
      <c r="AN51" s="175"/>
      <c r="AO51" s="175"/>
      <c r="AP51" s="175"/>
      <c r="AQ51" s="174"/>
      <c r="AR51" s="174"/>
      <c r="AS51" s="174"/>
      <c r="AT51" s="175"/>
      <c r="AU51" s="175"/>
      <c r="AV51" s="175"/>
      <c r="AW51" s="175"/>
      <c r="AX51" s="175"/>
      <c r="AY51" s="175"/>
      <c r="AZ51" s="175"/>
      <c r="BA51" s="175"/>
    </row>
    <row r="52" spans="5:53" s="144" customFormat="1" x14ac:dyDescent="0.25">
      <c r="E52" s="174"/>
      <c r="F52" s="174"/>
      <c r="G52" s="175"/>
      <c r="H52" s="175"/>
      <c r="I52" s="174"/>
      <c r="K52" s="174"/>
      <c r="L52" s="174"/>
      <c r="M52" s="175"/>
      <c r="N52" s="175"/>
      <c r="O52" s="174"/>
      <c r="P52" s="174"/>
      <c r="Q52" s="174"/>
      <c r="R52" s="174"/>
      <c r="S52" s="174"/>
      <c r="T52" s="174"/>
      <c r="U52" s="174"/>
      <c r="V52" s="175"/>
      <c r="W52" s="175"/>
      <c r="X52" s="175"/>
      <c r="Y52" s="175"/>
      <c r="Z52" s="175"/>
      <c r="AA52" s="175"/>
      <c r="AB52" s="174"/>
      <c r="AC52" s="174"/>
      <c r="AD52" s="174"/>
      <c r="AE52" s="174"/>
      <c r="AF52" s="174"/>
      <c r="AG52" s="174"/>
      <c r="AH52" s="174"/>
      <c r="AI52" s="174"/>
      <c r="AJ52" s="174"/>
      <c r="AK52" s="175"/>
      <c r="AL52" s="175"/>
      <c r="AM52" s="175"/>
      <c r="AN52" s="175"/>
      <c r="AO52" s="175"/>
      <c r="AP52" s="175"/>
      <c r="AQ52" s="174"/>
      <c r="AR52" s="174"/>
      <c r="AS52" s="174"/>
      <c r="AT52" s="175"/>
      <c r="AU52" s="175"/>
      <c r="AV52" s="175"/>
      <c r="AW52" s="175"/>
      <c r="AX52" s="175"/>
      <c r="AY52" s="175"/>
      <c r="AZ52" s="175"/>
      <c r="BA52" s="175"/>
    </row>
    <row r="53" spans="5:53" s="144" customFormat="1" x14ac:dyDescent="0.25">
      <c r="E53" s="174"/>
      <c r="F53" s="174"/>
      <c r="G53" s="175"/>
      <c r="H53" s="175"/>
      <c r="I53" s="174"/>
      <c r="K53" s="174"/>
      <c r="L53" s="174"/>
      <c r="M53" s="175"/>
      <c r="N53" s="175"/>
      <c r="O53" s="174"/>
      <c r="P53" s="174"/>
      <c r="Q53" s="174"/>
      <c r="R53" s="174"/>
      <c r="S53" s="174"/>
      <c r="T53" s="174"/>
      <c r="U53" s="174"/>
      <c r="V53" s="175"/>
      <c r="W53" s="175"/>
      <c r="X53" s="175"/>
      <c r="Y53" s="175"/>
      <c r="Z53" s="175"/>
      <c r="AA53" s="175"/>
      <c r="AB53" s="174"/>
      <c r="AC53" s="174"/>
      <c r="AD53" s="174"/>
      <c r="AE53" s="174"/>
      <c r="AF53" s="174"/>
      <c r="AG53" s="174"/>
      <c r="AH53" s="174"/>
      <c r="AI53" s="174"/>
      <c r="AJ53" s="174"/>
      <c r="AK53" s="175"/>
      <c r="AL53" s="175"/>
      <c r="AM53" s="175"/>
      <c r="AN53" s="175"/>
      <c r="AO53" s="175"/>
      <c r="AP53" s="175"/>
      <c r="AQ53" s="174"/>
      <c r="AR53" s="174"/>
      <c r="AS53" s="174"/>
      <c r="AT53" s="175"/>
      <c r="AU53" s="175"/>
      <c r="AV53" s="175"/>
      <c r="AW53" s="175"/>
      <c r="AX53" s="175"/>
      <c r="AY53" s="175"/>
      <c r="AZ53" s="175"/>
      <c r="BA53" s="175"/>
    </row>
    <row r="54" spans="5:53" s="144" customFormat="1" x14ac:dyDescent="0.25">
      <c r="E54" s="174"/>
      <c r="F54" s="174"/>
      <c r="G54" s="175"/>
      <c r="H54" s="175"/>
      <c r="I54" s="174"/>
      <c r="K54" s="174"/>
      <c r="L54" s="174"/>
      <c r="M54" s="175"/>
      <c r="N54" s="175"/>
      <c r="O54" s="174"/>
      <c r="P54" s="174"/>
      <c r="Q54" s="174"/>
      <c r="R54" s="174"/>
      <c r="S54" s="174"/>
      <c r="T54" s="174"/>
      <c r="U54" s="174"/>
      <c r="V54" s="175"/>
      <c r="W54" s="175"/>
      <c r="X54" s="175"/>
      <c r="Y54" s="175"/>
      <c r="Z54" s="175"/>
      <c r="AA54" s="175"/>
      <c r="AB54" s="174"/>
      <c r="AC54" s="174"/>
      <c r="AD54" s="174"/>
      <c r="AE54" s="174"/>
      <c r="AF54" s="174"/>
      <c r="AG54" s="174"/>
      <c r="AH54" s="174"/>
      <c r="AI54" s="174"/>
      <c r="AJ54" s="174"/>
      <c r="AK54" s="175"/>
      <c r="AL54" s="175"/>
      <c r="AM54" s="175"/>
      <c r="AN54" s="175"/>
      <c r="AO54" s="175"/>
      <c r="AP54" s="175"/>
      <c r="AQ54" s="174"/>
      <c r="AR54" s="174"/>
      <c r="AS54" s="174"/>
      <c r="AT54" s="175"/>
      <c r="AU54" s="175"/>
      <c r="AV54" s="175"/>
      <c r="AW54" s="175"/>
      <c r="AX54" s="175"/>
      <c r="AY54" s="175"/>
      <c r="AZ54" s="175"/>
      <c r="BA54" s="175"/>
    </row>
    <row r="55" spans="5:53" s="144" customFormat="1" x14ac:dyDescent="0.25">
      <c r="E55" s="174"/>
      <c r="F55" s="174"/>
      <c r="G55" s="175"/>
      <c r="H55" s="175"/>
      <c r="I55" s="174"/>
      <c r="K55" s="174"/>
      <c r="L55" s="174"/>
      <c r="M55" s="175"/>
      <c r="N55" s="175"/>
      <c r="O55" s="174"/>
      <c r="P55" s="174"/>
      <c r="Q55" s="174"/>
      <c r="R55" s="174"/>
      <c r="S55" s="174"/>
      <c r="T55" s="174"/>
      <c r="U55" s="174"/>
      <c r="V55" s="175"/>
      <c r="W55" s="175"/>
      <c r="X55" s="175"/>
      <c r="Y55" s="175"/>
      <c r="Z55" s="175"/>
      <c r="AA55" s="175"/>
      <c r="AB55" s="174"/>
      <c r="AC55" s="174"/>
      <c r="AD55" s="174"/>
      <c r="AE55" s="174"/>
      <c r="AF55" s="174"/>
      <c r="AG55" s="174"/>
      <c r="AH55" s="174"/>
      <c r="AI55" s="174"/>
      <c r="AJ55" s="174"/>
      <c r="AK55" s="175"/>
      <c r="AL55" s="175"/>
      <c r="AM55" s="175"/>
      <c r="AN55" s="175"/>
      <c r="AO55" s="175"/>
      <c r="AP55" s="175"/>
      <c r="AQ55" s="174"/>
      <c r="AR55" s="174"/>
      <c r="AS55" s="174"/>
      <c r="AT55" s="175"/>
      <c r="AU55" s="175"/>
      <c r="AV55" s="175"/>
      <c r="AW55" s="175"/>
      <c r="AX55" s="175"/>
      <c r="AY55" s="175"/>
      <c r="AZ55" s="175"/>
      <c r="BA55" s="175"/>
    </row>
    <row r="56" spans="5:53" s="144" customFormat="1" x14ac:dyDescent="0.25">
      <c r="E56" s="174"/>
      <c r="F56" s="174"/>
      <c r="G56" s="175"/>
      <c r="H56" s="175"/>
      <c r="I56" s="174"/>
      <c r="K56" s="174"/>
      <c r="L56" s="174"/>
      <c r="M56" s="175"/>
      <c r="N56" s="175"/>
      <c r="O56" s="174"/>
      <c r="P56" s="174"/>
      <c r="Q56" s="174"/>
      <c r="R56" s="174"/>
      <c r="S56" s="174"/>
      <c r="T56" s="174"/>
      <c r="U56" s="174"/>
      <c r="V56" s="175"/>
      <c r="W56" s="175"/>
      <c r="X56" s="175"/>
      <c r="Y56" s="175"/>
      <c r="Z56" s="175"/>
      <c r="AA56" s="175"/>
      <c r="AB56" s="174"/>
      <c r="AC56" s="174"/>
      <c r="AD56" s="174"/>
      <c r="AE56" s="174"/>
      <c r="AF56" s="174"/>
      <c r="AG56" s="174"/>
      <c r="AH56" s="174"/>
      <c r="AI56" s="174"/>
      <c r="AJ56" s="174"/>
      <c r="AK56" s="175"/>
      <c r="AL56" s="175"/>
      <c r="AM56" s="175"/>
      <c r="AN56" s="175"/>
      <c r="AO56" s="175"/>
      <c r="AP56" s="175"/>
      <c r="AQ56" s="174"/>
      <c r="AR56" s="174"/>
      <c r="AS56" s="174"/>
      <c r="AT56" s="175"/>
      <c r="AU56" s="175"/>
      <c r="AV56" s="175"/>
      <c r="AW56" s="175"/>
      <c r="AX56" s="175"/>
      <c r="AY56" s="175"/>
      <c r="AZ56" s="175"/>
      <c r="BA56" s="175"/>
    </row>
    <row r="57" spans="5:53" s="144" customFormat="1" x14ac:dyDescent="0.25">
      <c r="E57" s="174"/>
      <c r="F57" s="174"/>
      <c r="G57" s="175"/>
      <c r="H57" s="175"/>
      <c r="I57" s="174"/>
      <c r="K57" s="174"/>
      <c r="L57" s="174"/>
      <c r="M57" s="175"/>
      <c r="N57" s="175"/>
      <c r="O57" s="174"/>
      <c r="P57" s="174"/>
      <c r="Q57" s="174"/>
      <c r="R57" s="174"/>
      <c r="S57" s="174"/>
      <c r="T57" s="174"/>
      <c r="U57" s="174"/>
      <c r="V57" s="175"/>
      <c r="W57" s="175"/>
      <c r="X57" s="175"/>
      <c r="Y57" s="175"/>
      <c r="Z57" s="175"/>
      <c r="AA57" s="175"/>
      <c r="AB57" s="174"/>
      <c r="AC57" s="174"/>
      <c r="AD57" s="174"/>
      <c r="AE57" s="174"/>
      <c r="AF57" s="174"/>
      <c r="AG57" s="174"/>
      <c r="AH57" s="174"/>
      <c r="AI57" s="174"/>
      <c r="AJ57" s="174"/>
      <c r="AK57" s="175"/>
      <c r="AL57" s="175"/>
      <c r="AM57" s="175"/>
      <c r="AN57" s="175"/>
      <c r="AO57" s="175"/>
      <c r="AP57" s="175"/>
      <c r="AQ57" s="174"/>
      <c r="AR57" s="174"/>
      <c r="AS57" s="174"/>
      <c r="AT57" s="175"/>
      <c r="AU57" s="175"/>
      <c r="AV57" s="175"/>
      <c r="AW57" s="175"/>
      <c r="AX57" s="175"/>
      <c r="AY57" s="175"/>
      <c r="AZ57" s="175"/>
      <c r="BA57" s="175"/>
    </row>
    <row r="58" spans="5:53" s="144" customFormat="1" x14ac:dyDescent="0.25">
      <c r="E58" s="174"/>
      <c r="F58" s="174"/>
      <c r="G58" s="175"/>
      <c r="H58" s="175"/>
      <c r="I58" s="174"/>
      <c r="K58" s="174"/>
      <c r="L58" s="174"/>
      <c r="M58" s="175"/>
      <c r="N58" s="175"/>
      <c r="O58" s="174"/>
      <c r="P58" s="174"/>
      <c r="Q58" s="174"/>
      <c r="R58" s="174"/>
      <c r="S58" s="174"/>
      <c r="T58" s="174"/>
      <c r="U58" s="174"/>
      <c r="V58" s="175"/>
      <c r="W58" s="175"/>
      <c r="X58" s="175"/>
      <c r="Y58" s="175"/>
      <c r="Z58" s="175"/>
      <c r="AA58" s="175"/>
      <c r="AB58" s="174"/>
      <c r="AC58" s="174"/>
      <c r="AD58" s="174"/>
      <c r="AE58" s="174"/>
      <c r="AF58" s="174"/>
      <c r="AG58" s="174"/>
      <c r="AH58" s="174"/>
      <c r="AI58" s="174"/>
      <c r="AJ58" s="174"/>
      <c r="AK58" s="175"/>
      <c r="AL58" s="175"/>
      <c r="AM58" s="175"/>
      <c r="AN58" s="175"/>
      <c r="AO58" s="175"/>
      <c r="AP58" s="175"/>
      <c r="AQ58" s="174"/>
      <c r="AR58" s="174"/>
      <c r="AS58" s="174"/>
      <c r="AT58" s="175"/>
      <c r="AU58" s="175"/>
      <c r="AV58" s="175"/>
      <c r="AW58" s="175"/>
      <c r="AX58" s="175"/>
      <c r="AY58" s="175"/>
      <c r="AZ58" s="175"/>
      <c r="BA58" s="175"/>
    </row>
    <row r="59" spans="5:53" s="144" customFormat="1" x14ac:dyDescent="0.25">
      <c r="E59" s="174"/>
      <c r="F59" s="174"/>
      <c r="G59" s="175"/>
      <c r="H59" s="175"/>
      <c r="I59" s="174"/>
      <c r="K59" s="174"/>
      <c r="L59" s="174"/>
      <c r="M59" s="175"/>
      <c r="N59" s="175"/>
      <c r="O59" s="174"/>
      <c r="P59" s="174"/>
      <c r="Q59" s="174"/>
      <c r="R59" s="174"/>
      <c r="S59" s="174"/>
      <c r="T59" s="174"/>
      <c r="U59" s="174"/>
      <c r="V59" s="175"/>
      <c r="W59" s="175"/>
      <c r="X59" s="175"/>
      <c r="Y59" s="175"/>
      <c r="Z59" s="175"/>
      <c r="AA59" s="175"/>
      <c r="AB59" s="174"/>
      <c r="AC59" s="174"/>
      <c r="AD59" s="174"/>
      <c r="AE59" s="174"/>
      <c r="AF59" s="174"/>
      <c r="AG59" s="174"/>
      <c r="AH59" s="174"/>
      <c r="AI59" s="174"/>
      <c r="AJ59" s="174"/>
      <c r="AK59" s="175"/>
      <c r="AL59" s="175"/>
      <c r="AM59" s="175"/>
      <c r="AN59" s="175"/>
      <c r="AO59" s="175"/>
      <c r="AP59" s="175"/>
      <c r="AQ59" s="174"/>
      <c r="AR59" s="174"/>
      <c r="AS59" s="174"/>
      <c r="AT59" s="175"/>
      <c r="AU59" s="175"/>
      <c r="AV59" s="175"/>
      <c r="AW59" s="175"/>
      <c r="AX59" s="175"/>
      <c r="AY59" s="175"/>
      <c r="AZ59" s="175"/>
      <c r="BA59" s="175"/>
    </row>
    <row r="60" spans="5:53" s="144" customFormat="1" x14ac:dyDescent="0.25">
      <c r="E60" s="174"/>
      <c r="F60" s="174"/>
      <c r="G60" s="175"/>
      <c r="H60" s="175"/>
      <c r="I60" s="174"/>
      <c r="K60" s="174"/>
      <c r="L60" s="174"/>
      <c r="M60" s="175"/>
      <c r="N60" s="175"/>
      <c r="O60" s="174"/>
      <c r="P60" s="174"/>
      <c r="Q60" s="174"/>
      <c r="R60" s="174"/>
      <c r="S60" s="174"/>
      <c r="T60" s="174"/>
      <c r="U60" s="174"/>
      <c r="V60" s="175"/>
      <c r="W60" s="175"/>
      <c r="X60" s="175"/>
      <c r="Y60" s="175"/>
      <c r="Z60" s="175"/>
      <c r="AA60" s="175"/>
      <c r="AB60" s="174"/>
      <c r="AC60" s="174"/>
      <c r="AD60" s="174"/>
      <c r="AE60" s="174"/>
      <c r="AF60" s="174"/>
      <c r="AG60" s="174"/>
      <c r="AH60" s="174"/>
      <c r="AI60" s="174"/>
      <c r="AJ60" s="174"/>
      <c r="AK60" s="175"/>
      <c r="AL60" s="175"/>
      <c r="AM60" s="175"/>
      <c r="AN60" s="175"/>
      <c r="AO60" s="175"/>
      <c r="AP60" s="175"/>
      <c r="AQ60" s="174"/>
      <c r="AR60" s="174"/>
      <c r="AS60" s="174"/>
      <c r="AT60" s="175"/>
      <c r="AU60" s="175"/>
      <c r="AV60" s="175"/>
      <c r="AW60" s="175"/>
      <c r="AX60" s="175"/>
      <c r="AY60" s="175"/>
      <c r="AZ60" s="175"/>
      <c r="BA60" s="175"/>
    </row>
    <row r="61" spans="5:53" s="144" customFormat="1" x14ac:dyDescent="0.25">
      <c r="E61" s="174"/>
      <c r="F61" s="174"/>
      <c r="G61" s="175"/>
      <c r="H61" s="175"/>
      <c r="I61" s="174"/>
      <c r="K61" s="174"/>
      <c r="L61" s="174"/>
      <c r="M61" s="175"/>
      <c r="N61" s="175"/>
      <c r="O61" s="174"/>
      <c r="P61" s="174"/>
      <c r="Q61" s="174"/>
      <c r="R61" s="174"/>
      <c r="S61" s="174"/>
      <c r="T61" s="174"/>
      <c r="U61" s="174"/>
      <c r="V61" s="175"/>
      <c r="W61" s="175"/>
      <c r="X61" s="175"/>
      <c r="Y61" s="175"/>
      <c r="Z61" s="175"/>
      <c r="AA61" s="175"/>
      <c r="AB61" s="174"/>
      <c r="AC61" s="174"/>
      <c r="AD61" s="174"/>
      <c r="AE61" s="174"/>
      <c r="AF61" s="174"/>
      <c r="AG61" s="174"/>
      <c r="AH61" s="174"/>
      <c r="AI61" s="174"/>
      <c r="AJ61" s="174"/>
      <c r="AK61" s="175"/>
      <c r="AL61" s="175"/>
      <c r="AM61" s="175"/>
      <c r="AN61" s="175"/>
      <c r="AO61" s="175"/>
      <c r="AP61" s="175"/>
      <c r="AQ61" s="174"/>
      <c r="AR61" s="174"/>
      <c r="AS61" s="174"/>
      <c r="AT61" s="175"/>
      <c r="AU61" s="175"/>
      <c r="AV61" s="175"/>
      <c r="AW61" s="175"/>
      <c r="AX61" s="175"/>
      <c r="AY61" s="175"/>
      <c r="AZ61" s="175"/>
      <c r="BA61" s="175"/>
    </row>
    <row r="62" spans="5:53" s="144" customFormat="1" x14ac:dyDescent="0.25">
      <c r="E62" s="174"/>
      <c r="F62" s="174"/>
      <c r="G62" s="175"/>
      <c r="H62" s="175"/>
      <c r="I62" s="174"/>
      <c r="K62" s="174"/>
      <c r="L62" s="174"/>
      <c r="M62" s="175"/>
      <c r="N62" s="175"/>
      <c r="O62" s="174"/>
      <c r="P62" s="174"/>
      <c r="Q62" s="174"/>
      <c r="R62" s="174"/>
      <c r="S62" s="174"/>
      <c r="T62" s="174"/>
      <c r="U62" s="174"/>
      <c r="V62" s="175"/>
      <c r="W62" s="175"/>
      <c r="X62" s="175"/>
      <c r="Y62" s="175"/>
      <c r="Z62" s="175"/>
      <c r="AA62" s="175"/>
      <c r="AB62" s="174"/>
      <c r="AC62" s="174"/>
      <c r="AD62" s="174"/>
      <c r="AE62" s="174"/>
      <c r="AF62" s="174"/>
      <c r="AG62" s="174"/>
      <c r="AH62" s="174"/>
      <c r="AI62" s="174"/>
      <c r="AJ62" s="174"/>
      <c r="AK62" s="175"/>
      <c r="AL62" s="175"/>
      <c r="AM62" s="175"/>
      <c r="AN62" s="175"/>
      <c r="AO62" s="175"/>
      <c r="AP62" s="175"/>
      <c r="AQ62" s="174"/>
      <c r="AR62" s="174"/>
      <c r="AS62" s="174"/>
      <c r="AT62" s="175"/>
      <c r="AU62" s="175"/>
      <c r="AV62" s="175"/>
      <c r="AW62" s="175"/>
      <c r="AX62" s="175"/>
      <c r="AY62" s="175"/>
      <c r="AZ62" s="175"/>
      <c r="BA62" s="175"/>
    </row>
    <row r="63" spans="5:53" s="144" customFormat="1" x14ac:dyDescent="0.25">
      <c r="E63" s="174"/>
      <c r="F63" s="174"/>
      <c r="G63" s="175"/>
      <c r="H63" s="175"/>
      <c r="I63" s="174"/>
      <c r="K63" s="174"/>
      <c r="L63" s="174"/>
      <c r="M63" s="175"/>
      <c r="N63" s="175"/>
      <c r="O63" s="174"/>
      <c r="P63" s="174"/>
      <c r="Q63" s="174"/>
      <c r="R63" s="174"/>
      <c r="S63" s="174"/>
      <c r="T63" s="174"/>
      <c r="U63" s="174"/>
      <c r="V63" s="175"/>
      <c r="W63" s="175"/>
      <c r="X63" s="175"/>
      <c r="Y63" s="175"/>
      <c r="Z63" s="175"/>
      <c r="AA63" s="175"/>
      <c r="AB63" s="174"/>
      <c r="AC63" s="174"/>
      <c r="AD63" s="174"/>
      <c r="AE63" s="174"/>
      <c r="AF63" s="174"/>
      <c r="AG63" s="174"/>
      <c r="AH63" s="174"/>
      <c r="AI63" s="174"/>
      <c r="AJ63" s="174"/>
      <c r="AK63" s="175"/>
      <c r="AL63" s="175"/>
      <c r="AM63" s="175"/>
      <c r="AN63" s="175"/>
      <c r="AO63" s="175"/>
      <c r="AP63" s="175"/>
      <c r="AQ63" s="174"/>
      <c r="AR63" s="174"/>
      <c r="AS63" s="174"/>
      <c r="AT63" s="175"/>
      <c r="AU63" s="175"/>
      <c r="AV63" s="175"/>
      <c r="AW63" s="175"/>
      <c r="AX63" s="175"/>
      <c r="AY63" s="175"/>
      <c r="AZ63" s="175"/>
      <c r="BA63" s="175"/>
    </row>
    <row r="64" spans="5:53" s="144" customFormat="1" x14ac:dyDescent="0.25">
      <c r="E64" s="174"/>
      <c r="F64" s="174"/>
      <c r="G64" s="175"/>
      <c r="H64" s="175"/>
      <c r="I64" s="174"/>
      <c r="K64" s="174"/>
      <c r="L64" s="174"/>
      <c r="M64" s="175"/>
      <c r="N64" s="175"/>
      <c r="O64" s="174"/>
      <c r="P64" s="174"/>
      <c r="Q64" s="174"/>
      <c r="R64" s="174"/>
      <c r="S64" s="174"/>
      <c r="T64" s="174"/>
      <c r="U64" s="174"/>
      <c r="V64" s="175"/>
      <c r="W64" s="175"/>
      <c r="X64" s="175"/>
      <c r="Y64" s="175"/>
      <c r="Z64" s="175"/>
      <c r="AA64" s="175"/>
      <c r="AB64" s="174"/>
      <c r="AC64" s="174"/>
      <c r="AD64" s="174"/>
      <c r="AE64" s="174"/>
      <c r="AF64" s="174"/>
      <c r="AG64" s="174"/>
      <c r="AH64" s="174"/>
      <c r="AI64" s="174"/>
      <c r="AJ64" s="174"/>
      <c r="AK64" s="175"/>
      <c r="AL64" s="175"/>
      <c r="AM64" s="175"/>
      <c r="AN64" s="175"/>
      <c r="AO64" s="175"/>
      <c r="AP64" s="175"/>
      <c r="AQ64" s="174"/>
      <c r="AR64" s="174"/>
      <c r="AS64" s="174"/>
      <c r="AT64" s="175"/>
      <c r="AU64" s="175"/>
      <c r="AV64" s="175"/>
      <c r="AW64" s="175"/>
      <c r="AX64" s="175"/>
      <c r="AY64" s="175"/>
      <c r="AZ64" s="175"/>
      <c r="BA64" s="175"/>
    </row>
    <row r="65" spans="5:53" s="144" customFormat="1" x14ac:dyDescent="0.25">
      <c r="E65" s="174"/>
      <c r="F65" s="174"/>
      <c r="G65" s="175"/>
      <c r="H65" s="175"/>
      <c r="I65" s="174"/>
      <c r="K65" s="174"/>
      <c r="L65" s="174"/>
      <c r="M65" s="175"/>
      <c r="N65" s="175"/>
      <c r="O65" s="174"/>
      <c r="P65" s="174"/>
      <c r="Q65" s="174"/>
      <c r="R65" s="174"/>
      <c r="S65" s="174"/>
      <c r="T65" s="174"/>
      <c r="U65" s="174"/>
      <c r="V65" s="175"/>
      <c r="W65" s="175"/>
      <c r="X65" s="175"/>
      <c r="Y65" s="175"/>
      <c r="Z65" s="175"/>
      <c r="AA65" s="175"/>
      <c r="AB65" s="174"/>
      <c r="AC65" s="174"/>
      <c r="AD65" s="174"/>
      <c r="AE65" s="174"/>
      <c r="AF65" s="174"/>
      <c r="AG65" s="174"/>
      <c r="AH65" s="174"/>
      <c r="AI65" s="174"/>
      <c r="AJ65" s="174"/>
      <c r="AK65" s="175"/>
      <c r="AL65" s="175"/>
      <c r="AM65" s="175"/>
      <c r="AN65" s="175"/>
      <c r="AO65" s="175"/>
      <c r="AP65" s="175"/>
      <c r="AQ65" s="174"/>
      <c r="AR65" s="174"/>
      <c r="AS65" s="174"/>
      <c r="AT65" s="175"/>
      <c r="AU65" s="175"/>
      <c r="AV65" s="175"/>
      <c r="AW65" s="175"/>
      <c r="AX65" s="175"/>
      <c r="AY65" s="175"/>
      <c r="AZ65" s="175"/>
      <c r="BA65" s="175"/>
    </row>
    <row r="66" spans="5:53" s="144" customFormat="1" x14ac:dyDescent="0.25">
      <c r="E66" s="174"/>
      <c r="F66" s="174"/>
      <c r="G66" s="175"/>
      <c r="H66" s="175"/>
      <c r="I66" s="174"/>
      <c r="K66" s="174"/>
      <c r="L66" s="174"/>
      <c r="M66" s="175"/>
      <c r="N66" s="175"/>
      <c r="O66" s="174"/>
      <c r="P66" s="174"/>
      <c r="Q66" s="174"/>
      <c r="R66" s="174"/>
      <c r="S66" s="174"/>
      <c r="T66" s="174"/>
      <c r="U66" s="174"/>
      <c r="V66" s="175"/>
      <c r="W66" s="175"/>
      <c r="X66" s="175"/>
      <c r="Y66" s="175"/>
      <c r="Z66" s="175"/>
      <c r="AA66" s="175"/>
      <c r="AB66" s="174"/>
      <c r="AC66" s="174"/>
      <c r="AD66" s="174"/>
      <c r="AE66" s="174"/>
      <c r="AF66" s="174"/>
      <c r="AG66" s="174"/>
      <c r="AH66" s="174"/>
      <c r="AI66" s="174"/>
      <c r="AJ66" s="174"/>
      <c r="AK66" s="175"/>
      <c r="AL66" s="175"/>
      <c r="AM66" s="175"/>
      <c r="AN66" s="175"/>
      <c r="AO66" s="175"/>
      <c r="AP66" s="175"/>
      <c r="AQ66" s="174"/>
      <c r="AR66" s="174"/>
      <c r="AS66" s="174"/>
      <c r="AT66" s="175"/>
      <c r="AU66" s="175"/>
      <c r="AV66" s="175"/>
      <c r="AW66" s="175"/>
      <c r="AX66" s="175"/>
      <c r="AY66" s="175"/>
      <c r="AZ66" s="175"/>
      <c r="BA66" s="175"/>
    </row>
    <row r="67" spans="5:53" s="144" customFormat="1" x14ac:dyDescent="0.25">
      <c r="E67" s="174"/>
      <c r="F67" s="174"/>
      <c r="G67" s="175"/>
      <c r="H67" s="175"/>
      <c r="I67" s="174"/>
      <c r="K67" s="174"/>
      <c r="L67" s="174"/>
      <c r="M67" s="175"/>
      <c r="N67" s="175"/>
      <c r="O67" s="174"/>
      <c r="P67" s="174"/>
      <c r="Q67" s="174"/>
      <c r="R67" s="174"/>
      <c r="S67" s="174"/>
      <c r="T67" s="174"/>
      <c r="U67" s="174"/>
      <c r="V67" s="175"/>
      <c r="W67" s="175"/>
      <c r="X67" s="175"/>
      <c r="Y67" s="175"/>
      <c r="Z67" s="175"/>
      <c r="AA67" s="175"/>
      <c r="AB67" s="174"/>
      <c r="AC67" s="174"/>
      <c r="AD67" s="174"/>
      <c r="AE67" s="174"/>
      <c r="AF67" s="174"/>
      <c r="AG67" s="174"/>
      <c r="AH67" s="174"/>
      <c r="AI67" s="174"/>
      <c r="AJ67" s="174"/>
      <c r="AK67" s="175"/>
      <c r="AL67" s="175"/>
      <c r="AM67" s="175"/>
      <c r="AN67" s="175"/>
      <c r="AO67" s="175"/>
      <c r="AP67" s="175"/>
      <c r="AQ67" s="174"/>
      <c r="AR67" s="174"/>
      <c r="AS67" s="174"/>
      <c r="AT67" s="175"/>
      <c r="AU67" s="175"/>
      <c r="AV67" s="175"/>
      <c r="AW67" s="175"/>
      <c r="AX67" s="175"/>
      <c r="AY67" s="175"/>
      <c r="AZ67" s="175"/>
      <c r="BA67" s="175"/>
    </row>
    <row r="68" spans="5:53" s="144" customFormat="1" x14ac:dyDescent="0.25">
      <c r="E68" s="174"/>
      <c r="F68" s="174"/>
      <c r="G68" s="175"/>
      <c r="H68" s="175"/>
      <c r="I68" s="174"/>
      <c r="K68" s="174"/>
      <c r="L68" s="174"/>
      <c r="M68" s="175"/>
      <c r="N68" s="175"/>
      <c r="O68" s="174"/>
      <c r="P68" s="174"/>
      <c r="Q68" s="174"/>
      <c r="R68" s="174"/>
      <c r="S68" s="174"/>
      <c r="T68" s="174"/>
      <c r="U68" s="174"/>
      <c r="V68" s="175"/>
      <c r="W68" s="175"/>
      <c r="X68" s="175"/>
      <c r="Y68" s="175"/>
      <c r="Z68" s="175"/>
      <c r="AA68" s="175"/>
      <c r="AB68" s="174"/>
      <c r="AC68" s="174"/>
      <c r="AD68" s="174"/>
      <c r="AE68" s="174"/>
      <c r="AF68" s="174"/>
      <c r="AG68" s="174"/>
      <c r="AH68" s="174"/>
      <c r="AI68" s="174"/>
      <c r="AJ68" s="174"/>
      <c r="AK68" s="175"/>
      <c r="AL68" s="175"/>
      <c r="AM68" s="175"/>
      <c r="AN68" s="175"/>
      <c r="AO68" s="175"/>
      <c r="AP68" s="175"/>
      <c r="AQ68" s="174"/>
      <c r="AR68" s="174"/>
      <c r="AS68" s="174"/>
      <c r="AT68" s="175"/>
      <c r="AU68" s="175"/>
      <c r="AV68" s="175"/>
      <c r="AW68" s="175"/>
      <c r="AX68" s="175"/>
      <c r="AY68" s="175"/>
      <c r="AZ68" s="175"/>
      <c r="BA68" s="175"/>
    </row>
    <row r="69" spans="5:53" s="144" customFormat="1" x14ac:dyDescent="0.25">
      <c r="E69" s="174"/>
      <c r="F69" s="174"/>
      <c r="G69" s="175"/>
      <c r="H69" s="175"/>
      <c r="I69" s="174"/>
      <c r="K69" s="174"/>
      <c r="L69" s="174"/>
      <c r="M69" s="175"/>
      <c r="N69" s="175"/>
      <c r="O69" s="174"/>
      <c r="P69" s="174"/>
      <c r="Q69" s="174"/>
      <c r="R69" s="174"/>
      <c r="S69" s="174"/>
      <c r="T69" s="174"/>
      <c r="U69" s="174"/>
      <c r="V69" s="175"/>
      <c r="W69" s="175"/>
      <c r="X69" s="175"/>
      <c r="Y69" s="175"/>
      <c r="Z69" s="175"/>
      <c r="AA69" s="175"/>
      <c r="AB69" s="174"/>
      <c r="AC69" s="174"/>
      <c r="AD69" s="174"/>
      <c r="AE69" s="174"/>
      <c r="AF69" s="174"/>
      <c r="AG69" s="174"/>
      <c r="AH69" s="174"/>
      <c r="AI69" s="174"/>
      <c r="AJ69" s="174"/>
      <c r="AK69" s="175"/>
      <c r="AL69" s="175"/>
      <c r="AM69" s="175"/>
      <c r="AN69" s="175"/>
      <c r="AO69" s="175"/>
      <c r="AP69" s="175"/>
      <c r="AQ69" s="174"/>
      <c r="AR69" s="174"/>
      <c r="AS69" s="174"/>
      <c r="AT69" s="175"/>
      <c r="AU69" s="175"/>
      <c r="AV69" s="175"/>
      <c r="AW69" s="175"/>
      <c r="AX69" s="175"/>
      <c r="AY69" s="175"/>
      <c r="AZ69" s="175"/>
      <c r="BA69" s="175"/>
    </row>
    <row r="70" spans="5:53" s="144" customFormat="1" x14ac:dyDescent="0.25">
      <c r="E70" s="174"/>
      <c r="F70" s="174"/>
      <c r="G70" s="175"/>
      <c r="H70" s="175"/>
      <c r="I70" s="174"/>
      <c r="K70" s="174"/>
      <c r="L70" s="174"/>
      <c r="M70" s="175"/>
      <c r="N70" s="175"/>
      <c r="O70" s="174"/>
      <c r="P70" s="174"/>
      <c r="Q70" s="174"/>
      <c r="R70" s="174"/>
      <c r="S70" s="174"/>
      <c r="T70" s="174"/>
      <c r="U70" s="174"/>
      <c r="V70" s="175"/>
      <c r="W70" s="175"/>
      <c r="X70" s="175"/>
      <c r="Y70" s="175"/>
      <c r="Z70" s="175"/>
      <c r="AA70" s="175"/>
      <c r="AB70" s="174"/>
      <c r="AC70" s="174"/>
      <c r="AD70" s="174"/>
      <c r="AE70" s="174"/>
      <c r="AF70" s="174"/>
      <c r="AG70" s="174"/>
      <c r="AH70" s="174"/>
      <c r="AI70" s="174"/>
      <c r="AJ70" s="174"/>
      <c r="AK70" s="175"/>
      <c r="AL70" s="175"/>
      <c r="AM70" s="175"/>
      <c r="AN70" s="175"/>
      <c r="AO70" s="175"/>
      <c r="AP70" s="175"/>
      <c r="AQ70" s="174"/>
      <c r="AR70" s="174"/>
      <c r="AS70" s="174"/>
      <c r="AT70" s="175"/>
      <c r="AU70" s="175"/>
      <c r="AV70" s="175"/>
      <c r="AW70" s="175"/>
      <c r="AX70" s="175"/>
      <c r="AY70" s="175"/>
      <c r="AZ70" s="175"/>
      <c r="BA70" s="175"/>
    </row>
    <row r="71" spans="5:53" s="144" customFormat="1" x14ac:dyDescent="0.25">
      <c r="E71" s="174"/>
      <c r="F71" s="174"/>
      <c r="G71" s="175"/>
      <c r="H71" s="175"/>
      <c r="I71" s="174"/>
      <c r="K71" s="174"/>
      <c r="L71" s="174"/>
      <c r="M71" s="175"/>
      <c r="N71" s="175"/>
      <c r="O71" s="174"/>
      <c r="P71" s="174"/>
      <c r="Q71" s="174"/>
      <c r="R71" s="174"/>
      <c r="S71" s="174"/>
      <c r="T71" s="174"/>
      <c r="U71" s="174"/>
      <c r="V71" s="175"/>
      <c r="W71" s="175"/>
      <c r="X71" s="175"/>
      <c r="Y71" s="175"/>
      <c r="Z71" s="175"/>
      <c r="AA71" s="175"/>
      <c r="AB71" s="174"/>
      <c r="AC71" s="174"/>
      <c r="AD71" s="174"/>
      <c r="AE71" s="174"/>
      <c r="AF71" s="174"/>
      <c r="AG71" s="174"/>
      <c r="AH71" s="174"/>
      <c r="AI71" s="174"/>
      <c r="AJ71" s="174"/>
      <c r="AK71" s="175"/>
      <c r="AL71" s="175"/>
      <c r="AM71" s="175"/>
      <c r="AN71" s="175"/>
      <c r="AO71" s="175"/>
      <c r="AP71" s="175"/>
      <c r="AQ71" s="174"/>
      <c r="AR71" s="174"/>
      <c r="AS71" s="174"/>
      <c r="AT71" s="175"/>
      <c r="AU71" s="175"/>
      <c r="AV71" s="175"/>
      <c r="AW71" s="175"/>
      <c r="AX71" s="175"/>
      <c r="AY71" s="175"/>
      <c r="AZ71" s="175"/>
      <c r="BA71" s="175"/>
    </row>
    <row r="72" spans="5:53" s="144" customFormat="1" x14ac:dyDescent="0.25">
      <c r="E72" s="174"/>
      <c r="F72" s="174"/>
      <c r="G72" s="175"/>
      <c r="H72" s="175"/>
      <c r="I72" s="174"/>
      <c r="K72" s="174"/>
      <c r="L72" s="174"/>
      <c r="M72" s="175"/>
      <c r="N72" s="175"/>
      <c r="O72" s="174"/>
      <c r="P72" s="174"/>
      <c r="Q72" s="174"/>
      <c r="R72" s="174"/>
      <c r="S72" s="174"/>
      <c r="T72" s="174"/>
      <c r="U72" s="174"/>
      <c r="V72" s="175"/>
      <c r="W72" s="175"/>
      <c r="X72" s="175"/>
      <c r="Y72" s="175"/>
      <c r="Z72" s="175"/>
      <c r="AA72" s="175"/>
      <c r="AB72" s="174"/>
      <c r="AC72" s="174"/>
      <c r="AD72" s="174"/>
      <c r="AE72" s="174"/>
      <c r="AF72" s="174"/>
      <c r="AG72" s="174"/>
      <c r="AH72" s="174"/>
      <c r="AI72" s="174"/>
      <c r="AJ72" s="174"/>
      <c r="AK72" s="175"/>
      <c r="AL72" s="175"/>
      <c r="AM72" s="175"/>
      <c r="AN72" s="175"/>
      <c r="AO72" s="175"/>
      <c r="AP72" s="175"/>
      <c r="AQ72" s="174"/>
      <c r="AR72" s="174"/>
      <c r="AS72" s="174"/>
      <c r="AT72" s="175"/>
      <c r="AU72" s="175"/>
      <c r="AV72" s="175"/>
      <c r="AW72" s="175"/>
      <c r="AX72" s="175"/>
      <c r="AY72" s="175"/>
      <c r="AZ72" s="175"/>
      <c r="BA72" s="175"/>
    </row>
    <row r="73" spans="5:53" s="144" customFormat="1" x14ac:dyDescent="0.25">
      <c r="E73" s="174"/>
      <c r="F73" s="174"/>
      <c r="G73" s="175"/>
      <c r="H73" s="175"/>
      <c r="I73" s="174"/>
      <c r="K73" s="174"/>
      <c r="L73" s="174"/>
      <c r="M73" s="175"/>
      <c r="N73" s="175"/>
      <c r="O73" s="174"/>
      <c r="P73" s="174"/>
      <c r="Q73" s="174"/>
      <c r="R73" s="174"/>
      <c r="S73" s="174"/>
      <c r="T73" s="174"/>
      <c r="U73" s="174"/>
      <c r="V73" s="175"/>
      <c r="W73" s="175"/>
      <c r="X73" s="175"/>
      <c r="Y73" s="175"/>
      <c r="Z73" s="175"/>
      <c r="AA73" s="175"/>
      <c r="AB73" s="174"/>
      <c r="AC73" s="174"/>
      <c r="AD73" s="174"/>
      <c r="AE73" s="174"/>
      <c r="AF73" s="174"/>
      <c r="AG73" s="174"/>
      <c r="AH73" s="174"/>
      <c r="AI73" s="174"/>
      <c r="AJ73" s="174"/>
      <c r="AK73" s="175"/>
      <c r="AL73" s="175"/>
      <c r="AM73" s="175"/>
      <c r="AN73" s="175"/>
      <c r="AO73" s="175"/>
      <c r="AP73" s="175"/>
      <c r="AQ73" s="174"/>
      <c r="AR73" s="174"/>
      <c r="AS73" s="174"/>
      <c r="AT73" s="175"/>
      <c r="AU73" s="175"/>
      <c r="AV73" s="175"/>
      <c r="AW73" s="175"/>
      <c r="AX73" s="175"/>
      <c r="AY73" s="175"/>
      <c r="AZ73" s="175"/>
      <c r="BA73" s="175"/>
    </row>
    <row r="74" spans="5:53" s="144" customFormat="1" x14ac:dyDescent="0.25">
      <c r="E74" s="174"/>
      <c r="F74" s="174"/>
      <c r="G74" s="175"/>
      <c r="H74" s="175"/>
      <c r="I74" s="174"/>
      <c r="K74" s="174"/>
      <c r="L74" s="174"/>
      <c r="M74" s="175"/>
      <c r="N74" s="175"/>
      <c r="O74" s="174"/>
      <c r="P74" s="174"/>
      <c r="Q74" s="174"/>
      <c r="R74" s="174"/>
      <c r="S74" s="174"/>
      <c r="T74" s="174"/>
      <c r="U74" s="174"/>
      <c r="V74" s="175"/>
      <c r="W74" s="175"/>
      <c r="X74" s="175"/>
      <c r="Y74" s="175"/>
      <c r="Z74" s="175"/>
      <c r="AA74" s="175"/>
      <c r="AB74" s="174"/>
      <c r="AC74" s="174"/>
      <c r="AD74" s="174"/>
      <c r="AE74" s="174"/>
      <c r="AF74" s="174"/>
      <c r="AG74" s="174"/>
      <c r="AH74" s="174"/>
      <c r="AI74" s="174"/>
      <c r="AJ74" s="174"/>
      <c r="AK74" s="175"/>
      <c r="AL74" s="175"/>
      <c r="AM74" s="175"/>
      <c r="AN74" s="175"/>
      <c r="AO74" s="175"/>
      <c r="AP74" s="175"/>
      <c r="AQ74" s="174"/>
      <c r="AR74" s="174"/>
      <c r="AS74" s="174"/>
      <c r="AT74" s="175"/>
      <c r="AU74" s="175"/>
      <c r="AV74" s="175"/>
      <c r="AW74" s="175"/>
      <c r="AX74" s="175"/>
      <c r="AY74" s="175"/>
      <c r="AZ74" s="175"/>
      <c r="BA74" s="175"/>
    </row>
    <row r="75" spans="5:53" s="144" customFormat="1" x14ac:dyDescent="0.25">
      <c r="E75" s="174"/>
      <c r="F75" s="174"/>
      <c r="G75" s="175"/>
      <c r="H75" s="175"/>
      <c r="I75" s="174"/>
      <c r="K75" s="174"/>
      <c r="L75" s="174"/>
      <c r="M75" s="175"/>
      <c r="N75" s="175"/>
      <c r="O75" s="174"/>
      <c r="P75" s="174"/>
      <c r="Q75" s="174"/>
      <c r="R75" s="174"/>
      <c r="S75" s="174"/>
      <c r="T75" s="174"/>
      <c r="U75" s="174"/>
      <c r="V75" s="175"/>
      <c r="W75" s="175"/>
      <c r="X75" s="175"/>
      <c r="Y75" s="175"/>
      <c r="Z75" s="175"/>
      <c r="AA75" s="175"/>
      <c r="AB75" s="174"/>
      <c r="AC75" s="174"/>
      <c r="AD75" s="174"/>
      <c r="AE75" s="174"/>
      <c r="AF75" s="174"/>
      <c r="AG75" s="174"/>
      <c r="AH75" s="174"/>
      <c r="AI75" s="174"/>
      <c r="AJ75" s="174"/>
      <c r="AK75" s="175"/>
      <c r="AL75" s="175"/>
      <c r="AM75" s="175"/>
      <c r="AN75" s="175"/>
      <c r="AO75" s="175"/>
      <c r="AP75" s="175"/>
      <c r="AQ75" s="174"/>
      <c r="AR75" s="174"/>
      <c r="AS75" s="174"/>
      <c r="AT75" s="175"/>
      <c r="AU75" s="175"/>
      <c r="AV75" s="175"/>
      <c r="AW75" s="175"/>
      <c r="AX75" s="175"/>
      <c r="AY75" s="175"/>
      <c r="AZ75" s="175"/>
      <c r="BA75" s="175"/>
    </row>
    <row r="76" spans="5:53" s="144" customFormat="1" x14ac:dyDescent="0.25">
      <c r="E76" s="174"/>
      <c r="F76" s="174"/>
      <c r="G76" s="175"/>
      <c r="H76" s="175"/>
      <c r="I76" s="174"/>
      <c r="K76" s="174"/>
      <c r="L76" s="174"/>
      <c r="M76" s="175"/>
      <c r="N76" s="175"/>
      <c r="O76" s="174"/>
      <c r="P76" s="174"/>
      <c r="Q76" s="174"/>
      <c r="R76" s="174"/>
      <c r="S76" s="174"/>
      <c r="T76" s="174"/>
      <c r="U76" s="174"/>
      <c r="V76" s="175"/>
      <c r="W76" s="175"/>
      <c r="X76" s="175"/>
      <c r="Y76" s="175"/>
      <c r="Z76" s="175"/>
      <c r="AA76" s="175"/>
      <c r="AB76" s="174"/>
      <c r="AC76" s="174"/>
      <c r="AD76" s="174"/>
      <c r="AE76" s="174"/>
      <c r="AF76" s="174"/>
      <c r="AG76" s="174"/>
      <c r="AH76" s="174"/>
      <c r="AI76" s="174"/>
      <c r="AJ76" s="174"/>
      <c r="AK76" s="175"/>
      <c r="AL76" s="175"/>
      <c r="AM76" s="175"/>
      <c r="AN76" s="175"/>
      <c r="AO76" s="175"/>
      <c r="AP76" s="175"/>
      <c r="AQ76" s="174"/>
      <c r="AR76" s="174"/>
      <c r="AS76" s="174"/>
      <c r="AT76" s="175"/>
      <c r="AU76" s="175"/>
      <c r="AV76" s="175"/>
      <c r="AW76" s="175"/>
      <c r="AX76" s="175"/>
      <c r="AY76" s="175"/>
      <c r="AZ76" s="175"/>
      <c r="BA76" s="175"/>
    </row>
    <row r="77" spans="5:53" s="144" customFormat="1" x14ac:dyDescent="0.25">
      <c r="E77" s="174"/>
      <c r="F77" s="174"/>
      <c r="G77" s="175"/>
      <c r="H77" s="175"/>
      <c r="I77" s="174"/>
      <c r="K77" s="174"/>
      <c r="L77" s="174"/>
      <c r="M77" s="175"/>
      <c r="N77" s="175"/>
      <c r="O77" s="174"/>
      <c r="P77" s="174"/>
      <c r="Q77" s="174"/>
      <c r="R77" s="174"/>
      <c r="S77" s="174"/>
      <c r="T77" s="174"/>
      <c r="U77" s="174"/>
      <c r="V77" s="175"/>
      <c r="W77" s="175"/>
      <c r="X77" s="175"/>
      <c r="Y77" s="175"/>
      <c r="Z77" s="175"/>
      <c r="AA77" s="175"/>
      <c r="AB77" s="174"/>
      <c r="AC77" s="174"/>
      <c r="AD77" s="174"/>
      <c r="AE77" s="174"/>
      <c r="AF77" s="174"/>
      <c r="AG77" s="174"/>
      <c r="AH77" s="174"/>
      <c r="AI77" s="174"/>
      <c r="AJ77" s="174"/>
      <c r="AK77" s="175"/>
      <c r="AL77" s="175"/>
      <c r="AM77" s="175"/>
      <c r="AN77" s="175"/>
      <c r="AO77" s="175"/>
      <c r="AP77" s="175"/>
      <c r="AQ77" s="174"/>
      <c r="AR77" s="174"/>
      <c r="AS77" s="174"/>
      <c r="AT77" s="175"/>
      <c r="AU77" s="175"/>
      <c r="AV77" s="175"/>
      <c r="AW77" s="175"/>
      <c r="AX77" s="175"/>
      <c r="AY77" s="175"/>
      <c r="AZ77" s="175"/>
      <c r="BA77" s="175"/>
    </row>
    <row r="78" spans="5:53" s="144" customFormat="1" x14ac:dyDescent="0.25"/>
    <row r="79" spans="5:53" s="144" customFormat="1" x14ac:dyDescent="0.25"/>
    <row r="80" spans="5:53" s="144" customFormat="1" x14ac:dyDescent="0.25"/>
    <row r="81" s="144" customFormat="1" x14ac:dyDescent="0.25"/>
  </sheetData>
  <sheetProtection algorithmName="SHA-512" hashValue="ItFUEfmKWS09pbH1m/+UwLlPphGT48CMNr2m40vTDBWAESSWOfppvclu2klCCgxk+Zpm0GcFVHV47wSEhCcvmw==" saltValue="y4yjf/MMGMHBGS09N/gKBg==" spinCount="100000" sheet="1" objects="1" scenarios="1"/>
  <mergeCells count="44">
    <mergeCell ref="J4:O5"/>
    <mergeCell ref="A4:A8"/>
    <mergeCell ref="B4:B8"/>
    <mergeCell ref="C4:C8"/>
    <mergeCell ref="D4:D8"/>
    <mergeCell ref="E4:I5"/>
    <mergeCell ref="E7:I8"/>
    <mergeCell ref="J7:O8"/>
    <mergeCell ref="P4:AD5"/>
    <mergeCell ref="AE4:AS5"/>
    <mergeCell ref="AT4:AU5"/>
    <mergeCell ref="AV4:AY5"/>
    <mergeCell ref="AZ4:BA6"/>
    <mergeCell ref="P6:R6"/>
    <mergeCell ref="S6:U6"/>
    <mergeCell ref="V6:X6"/>
    <mergeCell ref="Y6:AA6"/>
    <mergeCell ref="AB6:AD6"/>
    <mergeCell ref="AV6:AW6"/>
    <mergeCell ref="AX6:AY6"/>
    <mergeCell ref="AT6:AU6"/>
    <mergeCell ref="AT7:AT8"/>
    <mergeCell ref="AU7:AU8"/>
    <mergeCell ref="AE6:AG6"/>
    <mergeCell ref="AH6:AJ6"/>
    <mergeCell ref="AK6:AM6"/>
    <mergeCell ref="AN6:AP6"/>
    <mergeCell ref="AQ6:AS6"/>
    <mergeCell ref="AZ7:AZ8"/>
    <mergeCell ref="BA7:BA8"/>
    <mergeCell ref="P8:R8"/>
    <mergeCell ref="S8:U8"/>
    <mergeCell ref="V8:X8"/>
    <mergeCell ref="Y8:AA8"/>
    <mergeCell ref="AB8:AD8"/>
    <mergeCell ref="AE8:AG8"/>
    <mergeCell ref="AH8:AJ8"/>
    <mergeCell ref="AK8:AM8"/>
    <mergeCell ref="AY7:AY8"/>
    <mergeCell ref="AV7:AV8"/>
    <mergeCell ref="AW7:AW8"/>
    <mergeCell ref="AX7:AX8"/>
    <mergeCell ref="AN8:AP8"/>
    <mergeCell ref="AQ8:AS8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Drop Down 1">
              <controlPr defaultSize="0" autoLine="0" autoPict="0">
                <anchor moveWithCells="1">
                  <from>
                    <xdr:col>8</xdr:col>
                    <xdr:colOff>617220</xdr:colOff>
                    <xdr:row>0</xdr:row>
                    <xdr:rowOff>7620</xdr:rowOff>
                  </from>
                  <to>
                    <xdr:col>10</xdr:col>
                    <xdr:colOff>137160</xdr:colOff>
                    <xdr:row>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24"/>
  <sheetViews>
    <sheetView workbookViewId="0">
      <selection activeCell="J9" sqref="J9"/>
    </sheetView>
  </sheetViews>
  <sheetFormatPr defaultColWidth="9.109375" defaultRowHeight="10.199999999999999" x14ac:dyDescent="0.2"/>
  <cols>
    <col min="1" max="1" width="2.44140625" style="3" customWidth="1"/>
    <col min="2" max="2" width="6.6640625" style="3" customWidth="1"/>
    <col min="3" max="3" width="16.88671875" style="3" customWidth="1"/>
    <col min="4" max="4" width="11.44140625" style="3" customWidth="1"/>
    <col min="5" max="5" width="17.44140625" style="3" customWidth="1"/>
    <col min="6" max="18" width="9.109375" style="3"/>
    <col min="19" max="19" width="22.5546875" style="3" customWidth="1"/>
    <col min="20" max="16384" width="9.109375" style="3"/>
  </cols>
  <sheetData>
    <row r="1" spans="2:21" x14ac:dyDescent="0.2">
      <c r="I1" s="3">
        <v>1</v>
      </c>
      <c r="J1" s="4" t="str">
        <f>INDEX(tech!$N$3:$N$4,tech!$I$1,1)</f>
        <v>UA</v>
      </c>
    </row>
    <row r="2" spans="2:21" x14ac:dyDescent="0.2">
      <c r="N2" s="3" t="s">
        <v>61</v>
      </c>
      <c r="O2" s="3" t="s">
        <v>62</v>
      </c>
    </row>
    <row r="3" spans="2:21" x14ac:dyDescent="0.2">
      <c r="B3" s="81" t="s">
        <v>0</v>
      </c>
      <c r="C3" s="81" t="s">
        <v>1</v>
      </c>
      <c r="D3" s="81" t="s">
        <v>56</v>
      </c>
      <c r="E3" s="81" t="s">
        <v>57</v>
      </c>
      <c r="F3" s="81" t="s">
        <v>58</v>
      </c>
      <c r="G3" s="81" t="s">
        <v>22</v>
      </c>
      <c r="H3" s="81"/>
      <c r="N3" s="3" t="s">
        <v>59</v>
      </c>
    </row>
    <row r="4" spans="2:21" x14ac:dyDescent="0.2">
      <c r="B4" s="5">
        <v>46</v>
      </c>
      <c r="C4" s="5" t="s">
        <v>2</v>
      </c>
      <c r="D4" s="5" t="s">
        <v>74</v>
      </c>
      <c r="E4" s="5" t="s">
        <v>26</v>
      </c>
      <c r="F4" s="5" t="s">
        <v>53</v>
      </c>
      <c r="G4" s="5" t="s">
        <v>23</v>
      </c>
      <c r="H4" s="5"/>
      <c r="I4" s="3" t="str">
        <f>IF($J$1="ENG",D4,E4)</f>
        <v>Приватбанк</v>
      </c>
      <c r="J4" s="3" t="str">
        <f>IF($J$1="ENG",F4,G4)</f>
        <v>Банки з державною часткою</v>
      </c>
      <c r="K4" s="5"/>
      <c r="N4" s="3" t="s">
        <v>60</v>
      </c>
      <c r="R4" s="3" t="str">
        <f>IF($J$1="ENG","Core Capital, mln UAH","ОК1, млн грн")</f>
        <v>ОК1, млн грн</v>
      </c>
      <c r="S4" s="3" t="s">
        <v>75</v>
      </c>
      <c r="T4" s="3" t="s">
        <v>67</v>
      </c>
      <c r="U4" s="120" t="str">
        <f>IF($J$1="ENG",S4,T4)</f>
        <v>ОК1, млн грн</v>
      </c>
    </row>
    <row r="5" spans="2:21" x14ac:dyDescent="0.2">
      <c r="B5" s="5">
        <v>6</v>
      </c>
      <c r="C5" s="5" t="s">
        <v>3</v>
      </c>
      <c r="D5" s="5" t="s">
        <v>27</v>
      </c>
      <c r="E5" s="5" t="s">
        <v>28</v>
      </c>
      <c r="F5" s="5" t="s">
        <v>53</v>
      </c>
      <c r="G5" s="5" t="s">
        <v>23</v>
      </c>
      <c r="H5" s="5"/>
      <c r="I5" s="3" t="str">
        <f t="shared" ref="I5:I24" si="0">IF($J$1="ENG",D5,E5)</f>
        <v>Ощадбанк</v>
      </c>
      <c r="J5" s="3" t="str">
        <f t="shared" ref="J5:J24" si="1">IF($J$1="ENG",F5,G5)</f>
        <v>Банки з державною часткою</v>
      </c>
      <c r="K5" s="5"/>
      <c r="R5" s="3" t="str">
        <f>IF($J$1="ENG","Tier 1 Capital, mln uah","К1, млн грн")</f>
        <v>К1, млн грн</v>
      </c>
      <c r="S5" s="3" t="s">
        <v>76</v>
      </c>
      <c r="T5" s="3" t="s">
        <v>68</v>
      </c>
      <c r="U5" s="120" t="str">
        <f t="shared" ref="U5:U9" si="2">IF($J$1="ENG",S5,T5)</f>
        <v>К1, млн грн</v>
      </c>
    </row>
    <row r="6" spans="2:21" x14ac:dyDescent="0.2">
      <c r="B6" s="5">
        <v>2</v>
      </c>
      <c r="C6" s="5" t="s">
        <v>4</v>
      </c>
      <c r="D6" s="6" t="s">
        <v>29</v>
      </c>
      <c r="E6" s="5" t="s">
        <v>30</v>
      </c>
      <c r="F6" s="5" t="s">
        <v>53</v>
      </c>
      <c r="G6" s="5" t="s">
        <v>23</v>
      </c>
      <c r="H6" s="5"/>
      <c r="I6" s="3" t="str">
        <f t="shared" si="0"/>
        <v>Укрексімбанк</v>
      </c>
      <c r="J6" s="3" t="str">
        <f t="shared" si="1"/>
        <v>Банки з державною часткою</v>
      </c>
      <c r="K6" s="5"/>
      <c r="R6" s="3" t="str">
        <f>IF($J$1="ENG","Regulatory capital, mln uah","РК, млн грн")</f>
        <v>РК, млн грн</v>
      </c>
      <c r="S6" s="3" t="s">
        <v>77</v>
      </c>
      <c r="T6" s="3" t="s">
        <v>69</v>
      </c>
      <c r="U6" s="120" t="str">
        <f t="shared" si="2"/>
        <v>РК, млн грн</v>
      </c>
    </row>
    <row r="7" spans="2:21" x14ac:dyDescent="0.2">
      <c r="B7" s="5">
        <v>274</v>
      </c>
      <c r="C7" s="5" t="s">
        <v>5</v>
      </c>
      <c r="D7" s="5" t="s">
        <v>31</v>
      </c>
      <c r="E7" s="5" t="s">
        <v>32</v>
      </c>
      <c r="F7" s="5" t="s">
        <v>53</v>
      </c>
      <c r="G7" s="5" t="s">
        <v>23</v>
      </c>
      <c r="H7" s="5"/>
      <c r="I7" s="3" t="str">
        <f t="shared" si="0"/>
        <v>Укргазбанк</v>
      </c>
      <c r="J7" s="3" t="str">
        <f t="shared" si="1"/>
        <v>Банки з державною часткою</v>
      </c>
      <c r="K7" s="5"/>
      <c r="R7" s="3" t="str">
        <f>IF($J$1="ENG","Regulatory capital ratio","НРК")</f>
        <v>НРК</v>
      </c>
      <c r="S7" s="3" t="s">
        <v>70</v>
      </c>
      <c r="T7" s="3" t="s">
        <v>78</v>
      </c>
      <c r="U7" s="120" t="str">
        <f t="shared" si="2"/>
        <v>НРК</v>
      </c>
    </row>
    <row r="8" spans="2:21" x14ac:dyDescent="0.2">
      <c r="B8" s="5">
        <v>272</v>
      </c>
      <c r="C8" s="5" t="s">
        <v>6</v>
      </c>
      <c r="D8" s="5" t="s">
        <v>82</v>
      </c>
      <c r="E8" s="5" t="s">
        <v>88</v>
      </c>
      <c r="F8" s="5" t="s">
        <v>53</v>
      </c>
      <c r="G8" s="5" t="s">
        <v>23</v>
      </c>
      <c r="H8" s="5"/>
      <c r="I8" s="3" t="str">
        <f t="shared" si="0"/>
        <v>Сенс Банк</v>
      </c>
      <c r="J8" s="3" t="str">
        <f t="shared" si="1"/>
        <v>Банки з державною часткою</v>
      </c>
      <c r="K8" s="5"/>
      <c r="R8" s="3" t="str">
        <f>IF($J$1="ENG","Tier 1 ratio","НК1")</f>
        <v>НК1</v>
      </c>
      <c r="S8" s="3" t="s">
        <v>71</v>
      </c>
      <c r="T8" s="3" t="s">
        <v>79</v>
      </c>
      <c r="U8" s="120" t="str">
        <f t="shared" si="2"/>
        <v>НК1</v>
      </c>
    </row>
    <row r="9" spans="2:21" x14ac:dyDescent="0.2">
      <c r="B9" s="5">
        <v>36</v>
      </c>
      <c r="C9" s="5" t="s">
        <v>7</v>
      </c>
      <c r="D9" s="5" t="s">
        <v>33</v>
      </c>
      <c r="E9" s="5" t="s">
        <v>34</v>
      </c>
      <c r="F9" s="5" t="s">
        <v>54</v>
      </c>
      <c r="G9" s="5" t="s">
        <v>24</v>
      </c>
      <c r="H9" s="5"/>
      <c r="I9" s="3" t="str">
        <f t="shared" si="0"/>
        <v>Райффайзен Банк</v>
      </c>
      <c r="J9" s="3" t="str">
        <f t="shared" si="1"/>
        <v>Банки іноземних банківських груп</v>
      </c>
      <c r="K9" s="5"/>
      <c r="R9" s="3" t="str">
        <f>IF($J$1="ENG","Core Capital ratio","НОК1")</f>
        <v>НОК1</v>
      </c>
      <c r="S9" s="3" t="s">
        <v>73</v>
      </c>
      <c r="T9" s="3" t="s">
        <v>80</v>
      </c>
      <c r="U9" s="120" t="str">
        <f t="shared" si="2"/>
        <v>НОК1</v>
      </c>
    </row>
    <row r="10" spans="2:21" x14ac:dyDescent="0.2">
      <c r="B10" s="5">
        <v>136</v>
      </c>
      <c r="C10" s="5" t="s">
        <v>8</v>
      </c>
      <c r="D10" s="5" t="s">
        <v>35</v>
      </c>
      <c r="E10" s="5" t="s">
        <v>36</v>
      </c>
      <c r="F10" s="5" t="s">
        <v>54</v>
      </c>
      <c r="G10" s="5" t="s">
        <v>24</v>
      </c>
      <c r="H10" s="5"/>
      <c r="I10" s="3" t="str">
        <f t="shared" si="0"/>
        <v>УкрСиббанк</v>
      </c>
      <c r="J10" s="3" t="str">
        <f t="shared" si="1"/>
        <v>Банки іноземних банківських груп</v>
      </c>
      <c r="K10" s="5"/>
    </row>
    <row r="11" spans="2:21" x14ac:dyDescent="0.2">
      <c r="B11" s="5">
        <v>296</v>
      </c>
      <c r="C11" s="5" t="s">
        <v>9</v>
      </c>
      <c r="D11" s="5" t="s">
        <v>37</v>
      </c>
      <c r="E11" s="5" t="s">
        <v>38</v>
      </c>
      <c r="F11" s="5" t="s">
        <v>54</v>
      </c>
      <c r="G11" s="5" t="s">
        <v>24</v>
      </c>
      <c r="H11" s="5"/>
      <c r="I11" s="3" t="str">
        <f t="shared" si="0"/>
        <v>ОТП Банк</v>
      </c>
      <c r="J11" s="3" t="str">
        <f t="shared" si="1"/>
        <v>Банки іноземних банківських груп</v>
      </c>
      <c r="K11" s="5"/>
    </row>
    <row r="12" spans="2:21" x14ac:dyDescent="0.2">
      <c r="B12" s="5">
        <v>171</v>
      </c>
      <c r="C12" s="5" t="s">
        <v>10</v>
      </c>
      <c r="D12" s="5" t="s">
        <v>39</v>
      </c>
      <c r="E12" s="5" t="s">
        <v>40</v>
      </c>
      <c r="F12" s="5" t="s">
        <v>54</v>
      </c>
      <c r="G12" s="5" t="s">
        <v>24</v>
      </c>
      <c r="H12" s="5"/>
      <c r="I12" s="3" t="str">
        <f t="shared" si="0"/>
        <v>Креді Агріколь Банк</v>
      </c>
      <c r="J12" s="3" t="str">
        <f t="shared" si="1"/>
        <v>Банки іноземних банківських груп</v>
      </c>
      <c r="K12" s="5"/>
    </row>
    <row r="13" spans="2:21" x14ac:dyDescent="0.2">
      <c r="B13" s="5">
        <v>298</v>
      </c>
      <c r="C13" s="5" t="s">
        <v>11</v>
      </c>
      <c r="D13" s="5" t="s">
        <v>83</v>
      </c>
      <c r="E13" s="5" t="s">
        <v>89</v>
      </c>
      <c r="F13" s="5" t="s">
        <v>54</v>
      </c>
      <c r="G13" s="5" t="s">
        <v>24</v>
      </c>
      <c r="H13" s="5"/>
      <c r="I13" s="3" t="str">
        <f t="shared" si="0"/>
        <v>Прокредит Банк</v>
      </c>
      <c r="J13" s="3" t="str">
        <f t="shared" si="1"/>
        <v>Банки іноземних банківських груп</v>
      </c>
      <c r="K13" s="5"/>
    </row>
    <row r="14" spans="2:21" x14ac:dyDescent="0.2">
      <c r="B14" s="5">
        <v>88</v>
      </c>
      <c r="C14" s="5" t="s">
        <v>12</v>
      </c>
      <c r="D14" s="5" t="s">
        <v>41</v>
      </c>
      <c r="E14" s="5" t="s">
        <v>42</v>
      </c>
      <c r="F14" s="5" t="s">
        <v>54</v>
      </c>
      <c r="G14" s="5" t="s">
        <v>24</v>
      </c>
      <c r="H14" s="5"/>
      <c r="I14" s="3" t="str">
        <f t="shared" si="0"/>
        <v>Кредобанк</v>
      </c>
      <c r="J14" s="3" t="str">
        <f t="shared" si="1"/>
        <v>Банки іноземних банківських груп</v>
      </c>
      <c r="K14" s="5"/>
    </row>
    <row r="15" spans="2:21" x14ac:dyDescent="0.2">
      <c r="B15" s="5">
        <v>153</v>
      </c>
      <c r="C15" s="5" t="s">
        <v>13</v>
      </c>
      <c r="D15" s="5" t="s">
        <v>81</v>
      </c>
      <c r="E15" s="5" t="s">
        <v>90</v>
      </c>
      <c r="F15" s="5" t="s">
        <v>54</v>
      </c>
      <c r="G15" s="5" t="s">
        <v>24</v>
      </c>
      <c r="H15" s="5"/>
      <c r="I15" s="3" t="str">
        <f t="shared" si="0"/>
        <v>Правекс Банк</v>
      </c>
      <c r="J15" s="3" t="str">
        <f t="shared" si="1"/>
        <v>Банки іноземних банківських груп</v>
      </c>
      <c r="K15" s="5"/>
    </row>
    <row r="16" spans="2:21" x14ac:dyDescent="0.2">
      <c r="B16" s="5">
        <v>115</v>
      </c>
      <c r="C16" s="5" t="s">
        <v>14</v>
      </c>
      <c r="D16" s="5" t="s">
        <v>43</v>
      </c>
      <c r="E16" s="5" t="s">
        <v>44</v>
      </c>
      <c r="F16" s="5" t="s">
        <v>55</v>
      </c>
      <c r="G16" s="5" t="s">
        <v>25</v>
      </c>
      <c r="H16" s="5"/>
      <c r="I16" s="3" t="str">
        <f t="shared" si="0"/>
        <v>ПУМБ</v>
      </c>
      <c r="J16" s="3" t="str">
        <f t="shared" si="1"/>
        <v>Банки з приватним капіталом</v>
      </c>
      <c r="K16" s="5"/>
    </row>
    <row r="17" spans="2:11" x14ac:dyDescent="0.2">
      <c r="B17" s="5">
        <v>106</v>
      </c>
      <c r="C17" s="5" t="s">
        <v>15</v>
      </c>
      <c r="D17" s="5" t="s">
        <v>45</v>
      </c>
      <c r="E17" s="5" t="s">
        <v>46</v>
      </c>
      <c r="F17" s="5" t="s">
        <v>55</v>
      </c>
      <c r="G17" s="5" t="s">
        <v>25</v>
      </c>
      <c r="H17" s="5"/>
      <c r="I17" s="3" t="str">
        <f t="shared" si="0"/>
        <v>Південний</v>
      </c>
      <c r="J17" s="3" t="str">
        <f t="shared" si="1"/>
        <v>Банки з приватним капіталом</v>
      </c>
      <c r="K17" s="5"/>
    </row>
    <row r="18" spans="2:11" x14ac:dyDescent="0.2">
      <c r="B18" s="5">
        <v>62</v>
      </c>
      <c r="C18" s="5" t="s">
        <v>16</v>
      </c>
      <c r="D18" s="5" t="s">
        <v>47</v>
      </c>
      <c r="E18" s="5" t="s">
        <v>48</v>
      </c>
      <c r="F18" s="5" t="s">
        <v>55</v>
      </c>
      <c r="G18" s="5" t="s">
        <v>25</v>
      </c>
      <c r="H18" s="5"/>
      <c r="I18" s="3" t="str">
        <f t="shared" si="0"/>
        <v>Таскомбанк</v>
      </c>
      <c r="J18" s="3" t="str">
        <f t="shared" si="1"/>
        <v>Банки з приватним капіталом</v>
      </c>
      <c r="K18" s="5"/>
    </row>
    <row r="19" spans="2:11" x14ac:dyDescent="0.2">
      <c r="B19" s="5">
        <v>242</v>
      </c>
      <c r="C19" s="5" t="s">
        <v>17</v>
      </c>
      <c r="D19" s="5" t="s">
        <v>84</v>
      </c>
      <c r="E19" s="5" t="s">
        <v>91</v>
      </c>
      <c r="F19" s="5" t="s">
        <v>55</v>
      </c>
      <c r="G19" s="5" t="s">
        <v>25</v>
      </c>
      <c r="H19" s="5"/>
      <c r="I19" s="3" t="str">
        <f t="shared" si="0"/>
        <v>Універсал Банк</v>
      </c>
      <c r="J19" s="3" t="str">
        <f t="shared" si="1"/>
        <v>Банки з приватним капіталом</v>
      </c>
      <c r="K19" s="5"/>
    </row>
    <row r="20" spans="2:11" x14ac:dyDescent="0.2">
      <c r="B20" s="5">
        <v>270</v>
      </c>
      <c r="C20" s="5" t="s">
        <v>18</v>
      </c>
      <c r="D20" s="5" t="s">
        <v>85</v>
      </c>
      <c r="E20" s="5" t="s">
        <v>92</v>
      </c>
      <c r="F20" s="5" t="s">
        <v>55</v>
      </c>
      <c r="G20" s="5" t="s">
        <v>25</v>
      </c>
      <c r="H20" s="5"/>
      <c r="I20" s="3" t="str">
        <f t="shared" si="0"/>
        <v>Банк Кредит Дніпро</v>
      </c>
      <c r="J20" s="3" t="str">
        <f t="shared" si="1"/>
        <v>Банки з приватним капіталом</v>
      </c>
      <c r="K20" s="5"/>
    </row>
    <row r="21" spans="2:11" x14ac:dyDescent="0.2">
      <c r="B21" s="5">
        <v>305</v>
      </c>
      <c r="C21" s="5" t="s">
        <v>72</v>
      </c>
      <c r="D21" s="5" t="s">
        <v>86</v>
      </c>
      <c r="E21" s="5" t="s">
        <v>93</v>
      </c>
      <c r="F21" s="5" t="s">
        <v>55</v>
      </c>
      <c r="G21" s="5" t="s">
        <v>25</v>
      </c>
      <c r="H21" s="5"/>
      <c r="I21" s="3" t="str">
        <f t="shared" si="0"/>
        <v>ВСТ Банк</v>
      </c>
      <c r="J21" s="3" t="str">
        <f t="shared" si="1"/>
        <v>Банки з приватним капіталом</v>
      </c>
      <c r="K21" s="5"/>
    </row>
    <row r="22" spans="2:11" x14ac:dyDescent="0.2">
      <c r="B22" s="5">
        <v>96</v>
      </c>
      <c r="C22" s="5" t="s">
        <v>19</v>
      </c>
      <c r="D22" s="5" t="s">
        <v>49</v>
      </c>
      <c r="E22" s="5" t="s">
        <v>50</v>
      </c>
      <c r="F22" s="5" t="s">
        <v>55</v>
      </c>
      <c r="G22" s="5" t="s">
        <v>25</v>
      </c>
      <c r="H22" s="5"/>
      <c r="I22" s="3" t="str">
        <f t="shared" si="0"/>
        <v>А - Банк</v>
      </c>
      <c r="J22" s="3" t="str">
        <f t="shared" si="1"/>
        <v>Банки з приватним капіталом</v>
      </c>
      <c r="K22" s="5"/>
    </row>
    <row r="23" spans="2:11" x14ac:dyDescent="0.2">
      <c r="B23" s="5">
        <v>105</v>
      </c>
      <c r="C23" s="5" t="s">
        <v>20</v>
      </c>
      <c r="D23" s="5" t="s">
        <v>87</v>
      </c>
      <c r="E23" s="5" t="s">
        <v>94</v>
      </c>
      <c r="F23" s="5" t="s">
        <v>55</v>
      </c>
      <c r="G23" s="5" t="s">
        <v>25</v>
      </c>
      <c r="H23" s="5"/>
      <c r="I23" s="3" t="str">
        <f t="shared" si="0"/>
        <v>МТБ Банк</v>
      </c>
      <c r="J23" s="3" t="str">
        <f t="shared" si="1"/>
        <v>Банки з приватним капіталом</v>
      </c>
      <c r="K23" s="5"/>
    </row>
    <row r="24" spans="2:11" x14ac:dyDescent="0.2">
      <c r="B24" s="5">
        <v>91</v>
      </c>
      <c r="C24" s="5" t="s">
        <v>21</v>
      </c>
      <c r="D24" s="5" t="s">
        <v>51</v>
      </c>
      <c r="E24" s="5" t="s">
        <v>52</v>
      </c>
      <c r="F24" s="5" t="s">
        <v>55</v>
      </c>
      <c r="G24" s="5" t="s">
        <v>25</v>
      </c>
      <c r="H24" s="5"/>
      <c r="I24" s="3" t="str">
        <f t="shared" si="0"/>
        <v>Львів</v>
      </c>
      <c r="J24" s="3" t="str">
        <f t="shared" si="1"/>
        <v>Банки з приватним капіталом</v>
      </c>
      <c r="K24" s="5"/>
    </row>
  </sheetData>
  <pageMargins left="0.7" right="0.7" top="0.75" bottom="0.75" header="0.3" footer="0.3"/>
  <pageSetup paperSize="9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Drop Down 1">
              <controlPr defaultSize="0" autoLine="0" autoPict="0">
                <anchor moveWithCells="1">
                  <from>
                    <xdr:col>7</xdr:col>
                    <xdr:colOff>601980</xdr:colOff>
                    <xdr:row>0</xdr:row>
                    <xdr:rowOff>0</xdr:rowOff>
                  </from>
                  <to>
                    <xdr:col>10</xdr:col>
                    <xdr:colOff>190500</xdr:colOff>
                    <xdr:row>1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8</vt:i4>
      </vt:variant>
    </vt:vector>
  </HeadingPairs>
  <TitlesOfParts>
    <vt:vector size="8" baseType="lpstr">
      <vt:lpstr>Individual banks</vt:lpstr>
      <vt:lpstr>Comparison with 2021</vt:lpstr>
      <vt:lpstr>Capital need</vt:lpstr>
      <vt:lpstr>Comparison with group</vt:lpstr>
      <vt:lpstr>Comparison of banks</vt:lpstr>
      <vt:lpstr>Data table</vt:lpstr>
      <vt:lpstr>2021 data table</vt:lpstr>
      <vt:lpstr>tech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Нікулін Олег Олександрович</dc:creator>
  <cp:lastModifiedBy>Дробязгін Максим Борисович</cp:lastModifiedBy>
  <dcterms:created xsi:type="dcterms:W3CDTF">2025-12-08T08:09:05Z</dcterms:created>
  <dcterms:modified xsi:type="dcterms:W3CDTF">2025-12-29T15:27:01Z</dcterms:modified>
</cp:coreProperties>
</file>